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UNDS\COMMERCIAL GAMING\7_Monthly Website Reports_Commercial\"/>
    </mc:Choice>
  </mc:AlternateContent>
  <xr:revisionPtr revIDLastSave="0" documentId="13_ncr:1_{C145C97D-24B1-42D2-949F-8D095C0666E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3-24 Rivers Monthly" sheetId="9" r:id="rId1"/>
    <sheet name="22-23 Rivers Monthly" sheetId="8" r:id="rId2"/>
    <sheet name="21-22 Rivers Monthly " sheetId="7" r:id="rId3"/>
    <sheet name="20-21 Rivers Monthly" sheetId="6" r:id="rId4"/>
    <sheet name="19-20 Rivers Monthly" sheetId="5" r:id="rId5"/>
    <sheet name="18-19 Rivers Monthly" sheetId="4" r:id="rId6"/>
    <sheet name="17-18 Rivers Monthly" sheetId="2" r:id="rId7"/>
    <sheet name="16-17 Rivers Monthly" sheetId="3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6" i="9" l="1"/>
  <c r="I26" i="9"/>
  <c r="C46" i="9"/>
  <c r="D46" i="9"/>
  <c r="C44" i="9" l="1"/>
  <c r="D44" i="9"/>
  <c r="F48" i="9" l="1"/>
  <c r="E48" i="9"/>
  <c r="W47" i="9"/>
  <c r="T47" i="9"/>
  <c r="R47" i="9"/>
  <c r="Q47" i="9"/>
  <c r="O47" i="9"/>
  <c r="N47" i="9"/>
  <c r="M47" i="9"/>
  <c r="L47" i="9"/>
  <c r="J47" i="9"/>
  <c r="I47" i="9"/>
  <c r="H47" i="9"/>
  <c r="D47" i="9"/>
  <c r="C47" i="9"/>
  <c r="W46" i="9"/>
  <c r="T46" i="9"/>
  <c r="R46" i="9"/>
  <c r="Q46" i="9"/>
  <c r="O46" i="9"/>
  <c r="N46" i="9"/>
  <c r="M46" i="9"/>
  <c r="L46" i="9"/>
  <c r="J46" i="9"/>
  <c r="I46" i="9"/>
  <c r="H46" i="9"/>
  <c r="W45" i="9"/>
  <c r="T45" i="9"/>
  <c r="R45" i="9"/>
  <c r="Q45" i="9"/>
  <c r="O45" i="9"/>
  <c r="N45" i="9"/>
  <c r="M45" i="9"/>
  <c r="L45" i="9"/>
  <c r="J45" i="9"/>
  <c r="I45" i="9"/>
  <c r="H45" i="9"/>
  <c r="D45" i="9"/>
  <c r="C45" i="9"/>
  <c r="W44" i="9"/>
  <c r="T44" i="9"/>
  <c r="R44" i="9"/>
  <c r="Q44" i="9"/>
  <c r="O44" i="9"/>
  <c r="N44" i="9"/>
  <c r="M44" i="9"/>
  <c r="L44" i="9"/>
  <c r="J44" i="9"/>
  <c r="I44" i="9"/>
  <c r="H44" i="9"/>
  <c r="W43" i="9"/>
  <c r="T43" i="9"/>
  <c r="R43" i="9"/>
  <c r="Q43" i="9"/>
  <c r="O43" i="9"/>
  <c r="N43" i="9"/>
  <c r="M43" i="9"/>
  <c r="L43" i="9"/>
  <c r="J43" i="9"/>
  <c r="I43" i="9"/>
  <c r="H43" i="9"/>
  <c r="D43" i="9"/>
  <c r="C43" i="9"/>
  <c r="W42" i="9"/>
  <c r="T42" i="9"/>
  <c r="R42" i="9"/>
  <c r="Q42" i="9"/>
  <c r="O42" i="9"/>
  <c r="N42" i="9"/>
  <c r="M42" i="9"/>
  <c r="L42" i="9"/>
  <c r="J42" i="9"/>
  <c r="I42" i="9"/>
  <c r="H42" i="9"/>
  <c r="D42" i="9"/>
  <c r="C42" i="9"/>
  <c r="W41" i="9"/>
  <c r="T41" i="9"/>
  <c r="R41" i="9"/>
  <c r="Q41" i="9"/>
  <c r="O41" i="9"/>
  <c r="N41" i="9"/>
  <c r="M41" i="9"/>
  <c r="L41" i="9"/>
  <c r="J41" i="9"/>
  <c r="I41" i="9"/>
  <c r="H41" i="9"/>
  <c r="D41" i="9"/>
  <c r="C41" i="9"/>
  <c r="W40" i="9"/>
  <c r="T40" i="9"/>
  <c r="R40" i="9"/>
  <c r="Q40" i="9"/>
  <c r="O40" i="9"/>
  <c r="N40" i="9"/>
  <c r="M40" i="9"/>
  <c r="L40" i="9"/>
  <c r="J40" i="9"/>
  <c r="I40" i="9"/>
  <c r="H40" i="9"/>
  <c r="D40" i="9"/>
  <c r="C40" i="9"/>
  <c r="W39" i="9"/>
  <c r="T39" i="9"/>
  <c r="R39" i="9"/>
  <c r="Q39" i="9"/>
  <c r="O39" i="9"/>
  <c r="N39" i="9"/>
  <c r="M39" i="9"/>
  <c r="L39" i="9"/>
  <c r="J39" i="9"/>
  <c r="I39" i="9"/>
  <c r="H39" i="9"/>
  <c r="D39" i="9"/>
  <c r="C39" i="9"/>
  <c r="T38" i="9"/>
  <c r="R38" i="9"/>
  <c r="Q38" i="9"/>
  <c r="O38" i="9"/>
  <c r="N38" i="9"/>
  <c r="M38" i="9"/>
  <c r="L38" i="9"/>
  <c r="J38" i="9"/>
  <c r="I38" i="9"/>
  <c r="H38" i="9"/>
  <c r="D38" i="9"/>
  <c r="C38" i="9"/>
  <c r="T37" i="9"/>
  <c r="R37" i="9"/>
  <c r="Q37" i="9"/>
  <c r="O37" i="9"/>
  <c r="N37" i="9"/>
  <c r="M37" i="9"/>
  <c r="L37" i="9"/>
  <c r="J37" i="9"/>
  <c r="I37" i="9"/>
  <c r="H37" i="9"/>
  <c r="D37" i="9"/>
  <c r="C37" i="9"/>
  <c r="T36" i="9"/>
  <c r="R36" i="9"/>
  <c r="Q36" i="9"/>
  <c r="O36" i="9"/>
  <c r="N36" i="9"/>
  <c r="M36" i="9"/>
  <c r="L36" i="9"/>
  <c r="J36" i="9"/>
  <c r="I36" i="9"/>
  <c r="H36" i="9"/>
  <c r="D36" i="9"/>
  <c r="C36" i="9"/>
  <c r="U26" i="9"/>
  <c r="T26" i="9"/>
  <c r="R26" i="9"/>
  <c r="O26" i="9"/>
  <c r="N26" i="9"/>
  <c r="M26" i="9"/>
  <c r="F26" i="9"/>
  <c r="E26" i="9"/>
  <c r="D26" i="9"/>
  <c r="C26" i="9"/>
  <c r="W25" i="9"/>
  <c r="W24" i="9"/>
  <c r="W23" i="9"/>
  <c r="W22" i="9"/>
  <c r="W21" i="9"/>
  <c r="W20" i="9"/>
  <c r="W19" i="9"/>
  <c r="W18" i="9"/>
  <c r="W17" i="9"/>
  <c r="W16" i="9"/>
  <c r="W15" i="9"/>
  <c r="W14" i="9"/>
  <c r="I26" i="8"/>
  <c r="C47" i="8"/>
  <c r="D47" i="8"/>
  <c r="C42" i="8"/>
  <c r="D28" i="9" l="1"/>
  <c r="E28" i="9"/>
  <c r="R48" i="9"/>
  <c r="O28" i="9"/>
  <c r="T48" i="9"/>
  <c r="O48" i="9"/>
  <c r="I48" i="9"/>
  <c r="H48" i="9"/>
  <c r="L48" i="9"/>
  <c r="Q48" i="9"/>
  <c r="M48" i="9"/>
  <c r="J48" i="9"/>
  <c r="W26" i="9"/>
  <c r="N48" i="9"/>
  <c r="C48" i="9"/>
  <c r="D48" i="9"/>
  <c r="F28" i="9"/>
  <c r="T47" i="8"/>
  <c r="R47" i="8"/>
  <c r="Q47" i="8"/>
  <c r="O47" i="8"/>
  <c r="N47" i="8"/>
  <c r="M47" i="8"/>
  <c r="L47" i="8"/>
  <c r="T46" i="8"/>
  <c r="R46" i="8"/>
  <c r="Q46" i="8"/>
  <c r="O46" i="8"/>
  <c r="N46" i="8"/>
  <c r="M46" i="8"/>
  <c r="L46" i="8"/>
  <c r="T45" i="8"/>
  <c r="R45" i="8"/>
  <c r="Q45" i="8"/>
  <c r="O45" i="8"/>
  <c r="N45" i="8"/>
  <c r="M45" i="8"/>
  <c r="L45" i="8"/>
  <c r="T44" i="8"/>
  <c r="R44" i="8"/>
  <c r="Q44" i="8"/>
  <c r="O44" i="8"/>
  <c r="N44" i="8"/>
  <c r="M44" i="8"/>
  <c r="L44" i="8"/>
  <c r="T43" i="8"/>
  <c r="R43" i="8"/>
  <c r="Q43" i="8"/>
  <c r="O43" i="8"/>
  <c r="N43" i="8"/>
  <c r="M43" i="8"/>
  <c r="L43" i="8"/>
  <c r="T42" i="8"/>
  <c r="R42" i="8"/>
  <c r="Q42" i="8"/>
  <c r="O42" i="8"/>
  <c r="N42" i="8"/>
  <c r="M42" i="8"/>
  <c r="L42" i="8"/>
  <c r="T41" i="8"/>
  <c r="R41" i="8"/>
  <c r="Q41" i="8"/>
  <c r="O41" i="8"/>
  <c r="N41" i="8"/>
  <c r="M41" i="8"/>
  <c r="L41" i="8"/>
  <c r="T40" i="8"/>
  <c r="R40" i="8"/>
  <c r="Q40" i="8"/>
  <c r="O40" i="8"/>
  <c r="N40" i="8"/>
  <c r="M40" i="8"/>
  <c r="L40" i="8"/>
  <c r="T39" i="8"/>
  <c r="R39" i="8"/>
  <c r="Q39" i="8"/>
  <c r="O39" i="8"/>
  <c r="N39" i="8"/>
  <c r="M39" i="8"/>
  <c r="L39" i="8"/>
  <c r="T38" i="8"/>
  <c r="R38" i="8"/>
  <c r="Q38" i="8"/>
  <c r="O38" i="8"/>
  <c r="N38" i="8"/>
  <c r="M38" i="8"/>
  <c r="L38" i="8"/>
  <c r="T37" i="8"/>
  <c r="R37" i="8"/>
  <c r="Q37" i="8"/>
  <c r="O37" i="8"/>
  <c r="N37" i="8"/>
  <c r="M37" i="8"/>
  <c r="L37" i="8"/>
  <c r="T36" i="8"/>
  <c r="R36" i="8"/>
  <c r="Q36" i="8"/>
  <c r="O36" i="8"/>
  <c r="N36" i="8"/>
  <c r="M36" i="8"/>
  <c r="L36" i="8"/>
  <c r="I26" i="7"/>
  <c r="F48" i="8"/>
  <c r="E48" i="8"/>
  <c r="W47" i="8"/>
  <c r="J47" i="8"/>
  <c r="I47" i="8"/>
  <c r="H47" i="8"/>
  <c r="W46" i="8"/>
  <c r="J46" i="8"/>
  <c r="I46" i="8"/>
  <c r="H46" i="8"/>
  <c r="D46" i="8"/>
  <c r="C46" i="8"/>
  <c r="W45" i="8"/>
  <c r="J45" i="8"/>
  <c r="I45" i="8"/>
  <c r="H45" i="8"/>
  <c r="D45" i="8"/>
  <c r="C45" i="8"/>
  <c r="W44" i="8"/>
  <c r="J44" i="8"/>
  <c r="I44" i="8"/>
  <c r="H44" i="8"/>
  <c r="D44" i="8"/>
  <c r="C44" i="8"/>
  <c r="W43" i="8"/>
  <c r="J43" i="8"/>
  <c r="I43" i="8"/>
  <c r="H43" i="8"/>
  <c r="D43" i="8"/>
  <c r="C43" i="8"/>
  <c r="W42" i="8"/>
  <c r="J42" i="8"/>
  <c r="I42" i="8"/>
  <c r="H42" i="8"/>
  <c r="D42" i="8"/>
  <c r="W41" i="8"/>
  <c r="J41" i="8"/>
  <c r="I41" i="8"/>
  <c r="H41" i="8"/>
  <c r="D41" i="8"/>
  <c r="C41" i="8"/>
  <c r="W40" i="8"/>
  <c r="J40" i="8"/>
  <c r="I40" i="8"/>
  <c r="H40" i="8"/>
  <c r="D40" i="8"/>
  <c r="C40" i="8"/>
  <c r="W39" i="8"/>
  <c r="J39" i="8"/>
  <c r="I39" i="8"/>
  <c r="H39" i="8"/>
  <c r="D39" i="8"/>
  <c r="C39" i="8"/>
  <c r="J38" i="8"/>
  <c r="I38" i="8"/>
  <c r="H38" i="8"/>
  <c r="D38" i="8"/>
  <c r="C38" i="8"/>
  <c r="J37" i="8"/>
  <c r="I37" i="8"/>
  <c r="H37" i="8"/>
  <c r="D37" i="8"/>
  <c r="C37" i="8"/>
  <c r="J36" i="8"/>
  <c r="I36" i="8"/>
  <c r="H36" i="8"/>
  <c r="D36" i="8"/>
  <c r="C36" i="8"/>
  <c r="U26" i="8"/>
  <c r="T26" i="8"/>
  <c r="R26" i="8"/>
  <c r="O26" i="8"/>
  <c r="N26" i="8"/>
  <c r="M26" i="8"/>
  <c r="F26" i="8"/>
  <c r="E26" i="8"/>
  <c r="D26" i="8"/>
  <c r="C26" i="8"/>
  <c r="W25" i="8"/>
  <c r="W24" i="8"/>
  <c r="W23" i="8"/>
  <c r="W22" i="8"/>
  <c r="W21" i="8"/>
  <c r="W20" i="8"/>
  <c r="W19" i="8"/>
  <c r="W18" i="8"/>
  <c r="W17" i="8"/>
  <c r="W16" i="8"/>
  <c r="W15" i="8"/>
  <c r="W14" i="8"/>
  <c r="M50" i="9" l="1"/>
  <c r="O50" i="9"/>
  <c r="C50" i="9"/>
  <c r="Q50" i="9"/>
  <c r="T50" i="9"/>
  <c r="N50" i="9"/>
  <c r="D50" i="9"/>
  <c r="J50" i="9"/>
  <c r="I50" i="9"/>
  <c r="R50" i="9"/>
  <c r="L50" i="9"/>
  <c r="H50" i="9"/>
  <c r="I48" i="8"/>
  <c r="N48" i="8"/>
  <c r="T48" i="8"/>
  <c r="Q48" i="8"/>
  <c r="J48" i="8"/>
  <c r="L48" i="8"/>
  <c r="O48" i="8"/>
  <c r="O28" i="8"/>
  <c r="C48" i="8"/>
  <c r="W26" i="8"/>
  <c r="F28" i="8"/>
  <c r="D48" i="8"/>
  <c r="D28" i="8"/>
  <c r="H48" i="8"/>
  <c r="M48" i="8"/>
  <c r="R48" i="8"/>
  <c r="E28" i="8"/>
  <c r="T47" i="7"/>
  <c r="R47" i="7"/>
  <c r="Q47" i="7"/>
  <c r="O47" i="7"/>
  <c r="N47" i="7"/>
  <c r="M47" i="7"/>
  <c r="L47" i="7"/>
  <c r="T46" i="7"/>
  <c r="R46" i="7"/>
  <c r="Q46" i="7"/>
  <c r="O46" i="7"/>
  <c r="N46" i="7"/>
  <c r="M46" i="7"/>
  <c r="L46" i="7"/>
  <c r="T45" i="7"/>
  <c r="R45" i="7"/>
  <c r="Q45" i="7"/>
  <c r="O45" i="7"/>
  <c r="N45" i="7"/>
  <c r="M45" i="7"/>
  <c r="L45" i="7"/>
  <c r="T44" i="7"/>
  <c r="R44" i="7"/>
  <c r="Q44" i="7"/>
  <c r="O44" i="7"/>
  <c r="N44" i="7"/>
  <c r="M44" i="7"/>
  <c r="L44" i="7"/>
  <c r="T43" i="7"/>
  <c r="R43" i="7"/>
  <c r="Q43" i="7"/>
  <c r="O43" i="7"/>
  <c r="N43" i="7"/>
  <c r="M43" i="7"/>
  <c r="L43" i="7"/>
  <c r="T42" i="7"/>
  <c r="R42" i="7"/>
  <c r="Q42" i="7"/>
  <c r="O42" i="7"/>
  <c r="N42" i="7"/>
  <c r="M42" i="7"/>
  <c r="L42" i="7"/>
  <c r="T41" i="7"/>
  <c r="R41" i="7"/>
  <c r="Q41" i="7"/>
  <c r="O41" i="7"/>
  <c r="N41" i="7"/>
  <c r="M41" i="7"/>
  <c r="L41" i="7"/>
  <c r="T40" i="7"/>
  <c r="R40" i="7"/>
  <c r="Q40" i="7"/>
  <c r="O40" i="7"/>
  <c r="N40" i="7"/>
  <c r="M40" i="7"/>
  <c r="L40" i="7"/>
  <c r="T39" i="7"/>
  <c r="R39" i="7"/>
  <c r="Q39" i="7"/>
  <c r="O39" i="7"/>
  <c r="N39" i="7"/>
  <c r="M39" i="7"/>
  <c r="L39" i="7"/>
  <c r="R50" i="8" l="1"/>
  <c r="N50" i="8"/>
  <c r="M50" i="8"/>
  <c r="O50" i="8"/>
  <c r="I50" i="8"/>
  <c r="H50" i="8"/>
  <c r="J50" i="8"/>
  <c r="D50" i="8"/>
  <c r="C50" i="8"/>
  <c r="L50" i="8"/>
  <c r="Q50" i="8"/>
  <c r="T50" i="8"/>
  <c r="T26" i="7"/>
  <c r="H36" i="6"/>
  <c r="H36" i="7"/>
  <c r="T37" i="7" l="1"/>
  <c r="T36" i="7"/>
  <c r="R37" i="7"/>
  <c r="R36" i="7"/>
  <c r="Q37" i="7"/>
  <c r="Q36" i="7"/>
  <c r="O37" i="7"/>
  <c r="O36" i="7"/>
  <c r="N37" i="7"/>
  <c r="N36" i="7"/>
  <c r="M37" i="7"/>
  <c r="M36" i="7"/>
  <c r="L37" i="7"/>
  <c r="L36" i="7"/>
  <c r="J37" i="7"/>
  <c r="J36" i="7"/>
  <c r="I37" i="7"/>
  <c r="I36" i="7"/>
  <c r="H37" i="7"/>
  <c r="D37" i="7"/>
  <c r="D36" i="7"/>
  <c r="C37" i="7"/>
  <c r="C36" i="7"/>
  <c r="T38" i="7"/>
  <c r="R38" i="7"/>
  <c r="Q38" i="7"/>
  <c r="O38" i="7"/>
  <c r="N38" i="7"/>
  <c r="M38" i="7"/>
  <c r="L38" i="7"/>
  <c r="J47" i="7"/>
  <c r="J46" i="7"/>
  <c r="J45" i="7"/>
  <c r="J44" i="7"/>
  <c r="J43" i="7"/>
  <c r="J42" i="7"/>
  <c r="J41" i="7"/>
  <c r="J40" i="7"/>
  <c r="J39" i="7"/>
  <c r="J38" i="7"/>
  <c r="I47" i="7"/>
  <c r="I46" i="7"/>
  <c r="I45" i="7"/>
  <c r="I44" i="7"/>
  <c r="I43" i="7"/>
  <c r="I42" i="7"/>
  <c r="I41" i="7"/>
  <c r="I40" i="7"/>
  <c r="I39" i="7"/>
  <c r="I38" i="7"/>
  <c r="H47" i="7"/>
  <c r="H46" i="7"/>
  <c r="H45" i="7"/>
  <c r="H44" i="7"/>
  <c r="H43" i="7"/>
  <c r="H42" i="7"/>
  <c r="H41" i="7"/>
  <c r="H40" i="7"/>
  <c r="H39" i="7"/>
  <c r="H38" i="7"/>
  <c r="D47" i="7"/>
  <c r="D46" i="7"/>
  <c r="D45" i="7"/>
  <c r="D44" i="7"/>
  <c r="D43" i="7"/>
  <c r="D42" i="7"/>
  <c r="D41" i="7"/>
  <c r="D40" i="7"/>
  <c r="D39" i="7"/>
  <c r="C47" i="7"/>
  <c r="C46" i="7"/>
  <c r="C45" i="7"/>
  <c r="C44" i="7"/>
  <c r="C43" i="7"/>
  <c r="C42" i="7"/>
  <c r="C41" i="7"/>
  <c r="C40" i="7"/>
  <c r="C39" i="7"/>
  <c r="C38" i="7"/>
  <c r="D38" i="7"/>
  <c r="E48" i="7" l="1"/>
  <c r="W47" i="7"/>
  <c r="W46" i="7"/>
  <c r="W45" i="7"/>
  <c r="W44" i="7"/>
  <c r="W43" i="7"/>
  <c r="W42" i="7"/>
  <c r="W41" i="7"/>
  <c r="W40" i="7"/>
  <c r="W39" i="7"/>
  <c r="U26" i="7"/>
  <c r="R26" i="7"/>
  <c r="O26" i="7"/>
  <c r="N26" i="7"/>
  <c r="M26" i="7"/>
  <c r="F26" i="7"/>
  <c r="E26" i="7"/>
  <c r="D26" i="7"/>
  <c r="C26" i="7"/>
  <c r="W25" i="7"/>
  <c r="W24" i="7"/>
  <c r="W23" i="7"/>
  <c r="W22" i="7"/>
  <c r="W21" i="7"/>
  <c r="W20" i="7"/>
  <c r="W19" i="7"/>
  <c r="W18" i="7"/>
  <c r="W17" i="7"/>
  <c r="W16" i="7"/>
  <c r="W15" i="7"/>
  <c r="W14" i="7"/>
  <c r="D28" i="7" l="1"/>
  <c r="O28" i="7"/>
  <c r="W26" i="7"/>
  <c r="I48" i="7"/>
  <c r="E28" i="7"/>
  <c r="C48" i="7"/>
  <c r="J48" i="7"/>
  <c r="O48" i="7"/>
  <c r="F28" i="7"/>
  <c r="D48" i="7"/>
  <c r="T48" i="7"/>
  <c r="L48" i="7"/>
  <c r="Q48" i="7"/>
  <c r="F48" i="7"/>
  <c r="H48" i="7"/>
  <c r="M48" i="7"/>
  <c r="R48" i="7"/>
  <c r="N48" i="7"/>
  <c r="I26" i="6"/>
  <c r="I25" i="6"/>
  <c r="D50" i="7" l="1"/>
  <c r="C50" i="7"/>
  <c r="R50" i="7"/>
  <c r="L50" i="7"/>
  <c r="M50" i="7"/>
  <c r="H50" i="7"/>
  <c r="N50" i="7"/>
  <c r="J50" i="7"/>
  <c r="Q50" i="7"/>
  <c r="I50" i="7"/>
  <c r="T50" i="7"/>
  <c r="O50" i="7"/>
  <c r="I24" i="6"/>
  <c r="I23" i="6" l="1"/>
  <c r="I22" i="6" l="1"/>
  <c r="V21" i="6" l="1"/>
  <c r="I21" i="6" l="1"/>
  <c r="F42" i="6" l="1"/>
  <c r="I20" i="6" l="1"/>
  <c r="I19" i="6" l="1"/>
  <c r="F48" i="6" l="1"/>
  <c r="E48" i="6"/>
  <c r="V47" i="6"/>
  <c r="T47" i="6"/>
  <c r="O47" i="6"/>
  <c r="N47" i="6"/>
  <c r="J47" i="6"/>
  <c r="I47" i="6"/>
  <c r="R47" i="6"/>
  <c r="D47" i="6"/>
  <c r="C47" i="6"/>
  <c r="V46" i="6"/>
  <c r="T46" i="6"/>
  <c r="R46" i="6"/>
  <c r="Q46" i="6"/>
  <c r="O46" i="6"/>
  <c r="N46" i="6"/>
  <c r="M46" i="6"/>
  <c r="L46" i="6"/>
  <c r="J46" i="6"/>
  <c r="I46" i="6"/>
  <c r="H46" i="6"/>
  <c r="D46" i="6"/>
  <c r="C46" i="6"/>
  <c r="V45" i="6"/>
  <c r="T45" i="6"/>
  <c r="R45" i="6"/>
  <c r="Q45" i="6"/>
  <c r="O45" i="6"/>
  <c r="N45" i="6"/>
  <c r="M45" i="6"/>
  <c r="L45" i="6"/>
  <c r="J45" i="6"/>
  <c r="I45" i="6"/>
  <c r="H45" i="6"/>
  <c r="D45" i="6"/>
  <c r="C45" i="6"/>
  <c r="V44" i="6"/>
  <c r="T44" i="6"/>
  <c r="R44" i="6"/>
  <c r="Q44" i="6"/>
  <c r="O44" i="6"/>
  <c r="N44" i="6"/>
  <c r="M44" i="6"/>
  <c r="L44" i="6"/>
  <c r="J44" i="6"/>
  <c r="I44" i="6"/>
  <c r="H44" i="6"/>
  <c r="D44" i="6"/>
  <c r="C44" i="6"/>
  <c r="V43" i="6"/>
  <c r="T43" i="6"/>
  <c r="R43" i="6"/>
  <c r="Q43" i="6"/>
  <c r="O43" i="6"/>
  <c r="N43" i="6"/>
  <c r="M43" i="6"/>
  <c r="L43" i="6"/>
  <c r="J43" i="6"/>
  <c r="I43" i="6"/>
  <c r="H43" i="6"/>
  <c r="D43" i="6"/>
  <c r="C43" i="6"/>
  <c r="V42" i="6"/>
  <c r="T42" i="6"/>
  <c r="R42" i="6"/>
  <c r="Q42" i="6"/>
  <c r="O42" i="6"/>
  <c r="N42" i="6"/>
  <c r="M42" i="6"/>
  <c r="L42" i="6"/>
  <c r="J42" i="6"/>
  <c r="I42" i="6"/>
  <c r="H42" i="6"/>
  <c r="D42" i="6"/>
  <c r="C42" i="6"/>
  <c r="V41" i="6"/>
  <c r="T41" i="6"/>
  <c r="R41" i="6"/>
  <c r="Q41" i="6"/>
  <c r="O41" i="6"/>
  <c r="N41" i="6"/>
  <c r="M41" i="6"/>
  <c r="L41" i="6"/>
  <c r="J41" i="6"/>
  <c r="I41" i="6"/>
  <c r="H41" i="6"/>
  <c r="D41" i="6"/>
  <c r="C41" i="6"/>
  <c r="V40" i="6"/>
  <c r="T40" i="6"/>
  <c r="R40" i="6"/>
  <c r="Q40" i="6"/>
  <c r="O40" i="6"/>
  <c r="N40" i="6"/>
  <c r="M40" i="6"/>
  <c r="L40" i="6"/>
  <c r="J40" i="6"/>
  <c r="I40" i="6"/>
  <c r="H40" i="6"/>
  <c r="D40" i="6"/>
  <c r="C40" i="6"/>
  <c r="V39" i="6"/>
  <c r="T39" i="6"/>
  <c r="R39" i="6"/>
  <c r="Q39" i="6"/>
  <c r="O39" i="6"/>
  <c r="N39" i="6"/>
  <c r="M39" i="6"/>
  <c r="L39" i="6"/>
  <c r="J39" i="6"/>
  <c r="I39" i="6"/>
  <c r="H39" i="6"/>
  <c r="D39" i="6"/>
  <c r="C39" i="6"/>
  <c r="T38" i="6"/>
  <c r="R38" i="6"/>
  <c r="Q38" i="6"/>
  <c r="O38" i="6"/>
  <c r="N38" i="6"/>
  <c r="M38" i="6"/>
  <c r="L38" i="6"/>
  <c r="J38" i="6"/>
  <c r="I38" i="6"/>
  <c r="H38" i="6"/>
  <c r="D38" i="6"/>
  <c r="C38" i="6"/>
  <c r="T37" i="6"/>
  <c r="R37" i="6"/>
  <c r="Q37" i="6"/>
  <c r="O37" i="6"/>
  <c r="N37" i="6"/>
  <c r="M37" i="6"/>
  <c r="L37" i="6"/>
  <c r="J37" i="6"/>
  <c r="I37" i="6"/>
  <c r="H37" i="6"/>
  <c r="D37" i="6"/>
  <c r="C37" i="6"/>
  <c r="T36" i="6"/>
  <c r="T48" i="6" s="1"/>
  <c r="R36" i="6"/>
  <c r="Q36" i="6"/>
  <c r="O36" i="6"/>
  <c r="N36" i="6"/>
  <c r="N48" i="6" s="1"/>
  <c r="M36" i="6"/>
  <c r="L36" i="6"/>
  <c r="J36" i="6"/>
  <c r="I36" i="6"/>
  <c r="D36" i="6"/>
  <c r="C36" i="6"/>
  <c r="T26" i="6"/>
  <c r="R26" i="6"/>
  <c r="O26" i="6"/>
  <c r="N26" i="6"/>
  <c r="M26" i="6"/>
  <c r="F26" i="6"/>
  <c r="E26" i="6"/>
  <c r="D26" i="6"/>
  <c r="C26" i="6"/>
  <c r="V25" i="6"/>
  <c r="V24" i="6"/>
  <c r="V23" i="6"/>
  <c r="V22" i="6"/>
  <c r="V20" i="6"/>
  <c r="V19" i="6"/>
  <c r="V18" i="6"/>
  <c r="V17" i="6"/>
  <c r="V16" i="6"/>
  <c r="V15" i="6"/>
  <c r="V14" i="6"/>
  <c r="I48" i="6" l="1"/>
  <c r="E28" i="6"/>
  <c r="F28" i="6"/>
  <c r="O28" i="6"/>
  <c r="D28" i="6"/>
  <c r="J48" i="6"/>
  <c r="C48" i="6"/>
  <c r="O48" i="6"/>
  <c r="D48" i="6"/>
  <c r="T50" i="6" s="1"/>
  <c r="V26" i="6"/>
  <c r="R48" i="6"/>
  <c r="L47" i="6"/>
  <c r="L48" i="6" s="1"/>
  <c r="Q47" i="6"/>
  <c r="Q48" i="6" s="1"/>
  <c r="H47" i="6"/>
  <c r="H48" i="6" s="1"/>
  <c r="M47" i="6"/>
  <c r="M48" i="6" s="1"/>
  <c r="E47" i="5"/>
  <c r="L50" i="6" l="1"/>
  <c r="R50" i="6"/>
  <c r="M50" i="6"/>
  <c r="D50" i="6"/>
  <c r="I50" i="6"/>
  <c r="J50" i="6"/>
  <c r="H50" i="6"/>
  <c r="O50" i="6"/>
  <c r="Q50" i="6"/>
  <c r="C50" i="6"/>
  <c r="N50" i="6"/>
  <c r="D47" i="5"/>
  <c r="C47" i="5"/>
  <c r="T47" i="5"/>
  <c r="R47" i="5"/>
  <c r="Q47" i="5"/>
  <c r="O47" i="5"/>
  <c r="N47" i="5"/>
  <c r="M47" i="5"/>
  <c r="L47" i="5"/>
  <c r="J47" i="5"/>
  <c r="I47" i="5"/>
  <c r="H47" i="5"/>
  <c r="V25" i="5"/>
  <c r="T46" i="5" l="1"/>
  <c r="R46" i="5"/>
  <c r="Q46" i="5"/>
  <c r="O46" i="5"/>
  <c r="N46" i="5"/>
  <c r="M46" i="5"/>
  <c r="L46" i="5"/>
  <c r="J46" i="5"/>
  <c r="I46" i="5"/>
  <c r="H46" i="5"/>
  <c r="T45" i="5" l="1"/>
  <c r="R45" i="5"/>
  <c r="Q45" i="5"/>
  <c r="O45" i="5"/>
  <c r="N45" i="5"/>
  <c r="M45" i="5"/>
  <c r="L45" i="5"/>
  <c r="J45" i="5"/>
  <c r="I45" i="5"/>
  <c r="H45" i="5"/>
  <c r="D45" i="5"/>
  <c r="C45" i="5"/>
  <c r="V23" i="5"/>
  <c r="T44" i="5" l="1"/>
  <c r="R44" i="5"/>
  <c r="Q44" i="5"/>
  <c r="O44" i="5"/>
  <c r="N44" i="5"/>
  <c r="M44" i="5"/>
  <c r="L44" i="5"/>
  <c r="J44" i="5"/>
  <c r="I44" i="5"/>
  <c r="H44" i="5"/>
  <c r="D44" i="5"/>
  <c r="C44" i="5"/>
  <c r="V22" i="5"/>
  <c r="T43" i="5" l="1"/>
  <c r="R43" i="5"/>
  <c r="Q43" i="5"/>
  <c r="O43" i="5"/>
  <c r="N43" i="5"/>
  <c r="M43" i="5"/>
  <c r="L43" i="5"/>
  <c r="J43" i="5"/>
  <c r="I43" i="5"/>
  <c r="H43" i="5"/>
  <c r="D43" i="5"/>
  <c r="C43" i="5"/>
  <c r="T42" i="5" l="1"/>
  <c r="R42" i="5"/>
  <c r="Q42" i="5"/>
  <c r="O42" i="5"/>
  <c r="N42" i="5"/>
  <c r="M42" i="5"/>
  <c r="L42" i="5"/>
  <c r="J42" i="5"/>
  <c r="I42" i="5"/>
  <c r="H42" i="5"/>
  <c r="D42" i="5" l="1"/>
  <c r="C42" i="5"/>
  <c r="V20" i="5"/>
  <c r="V18" i="5" l="1"/>
  <c r="T37" i="5" l="1"/>
  <c r="T38" i="5"/>
  <c r="T39" i="5"/>
  <c r="T40" i="5"/>
  <c r="T41" i="5"/>
  <c r="T36" i="5"/>
  <c r="T48" i="5" l="1"/>
  <c r="R40" i="5"/>
  <c r="R41" i="5"/>
  <c r="R39" i="5"/>
  <c r="Q40" i="5"/>
  <c r="Q41" i="5"/>
  <c r="Q39" i="5"/>
  <c r="O40" i="5"/>
  <c r="O41" i="5"/>
  <c r="O39" i="5"/>
  <c r="N40" i="5"/>
  <c r="N41" i="5"/>
  <c r="N39" i="5"/>
  <c r="M40" i="5"/>
  <c r="M41" i="5"/>
  <c r="M39" i="5"/>
  <c r="L40" i="5"/>
  <c r="L41" i="5"/>
  <c r="L39" i="5"/>
  <c r="L38" i="5"/>
  <c r="I40" i="5"/>
  <c r="I41" i="5"/>
  <c r="J40" i="5"/>
  <c r="J41" i="5"/>
  <c r="J39" i="5"/>
  <c r="H40" i="5"/>
  <c r="H41" i="5"/>
  <c r="I39" i="5"/>
  <c r="H39" i="5"/>
  <c r="D37" i="5"/>
  <c r="D38" i="5"/>
  <c r="D39" i="5"/>
  <c r="D40" i="5"/>
  <c r="D41" i="5"/>
  <c r="D46" i="5"/>
  <c r="D36" i="5"/>
  <c r="C37" i="5"/>
  <c r="C38" i="5"/>
  <c r="C39" i="5"/>
  <c r="C40" i="5"/>
  <c r="C41" i="5"/>
  <c r="C46" i="5"/>
  <c r="C36" i="5"/>
  <c r="T26" i="5"/>
  <c r="V19" i="5"/>
  <c r="V21" i="5"/>
  <c r="V24" i="5"/>
  <c r="V15" i="5"/>
  <c r="V16" i="5"/>
  <c r="V17" i="5"/>
  <c r="V14" i="5"/>
  <c r="V39" i="5" l="1"/>
  <c r="T25" i="4" l="1"/>
  <c r="F48" i="5" l="1"/>
  <c r="E48" i="5"/>
  <c r="V47" i="5"/>
  <c r="V46" i="5"/>
  <c r="V45" i="5"/>
  <c r="V44" i="5"/>
  <c r="V43" i="5"/>
  <c r="V42" i="5"/>
  <c r="V41" i="5"/>
  <c r="V40" i="5"/>
  <c r="R38" i="5"/>
  <c r="Q38" i="5"/>
  <c r="O38" i="5"/>
  <c r="N38" i="5"/>
  <c r="M38" i="5"/>
  <c r="J38" i="5"/>
  <c r="I38" i="5"/>
  <c r="H38" i="5"/>
  <c r="R37" i="5"/>
  <c r="Q37" i="5"/>
  <c r="O37" i="5"/>
  <c r="N37" i="5"/>
  <c r="M37" i="5"/>
  <c r="L37" i="5"/>
  <c r="J37" i="5"/>
  <c r="I37" i="5"/>
  <c r="H37" i="5"/>
  <c r="R36" i="5"/>
  <c r="R48" i="5" s="1"/>
  <c r="Q36" i="5"/>
  <c r="O36" i="5"/>
  <c r="N36" i="5"/>
  <c r="M36" i="5"/>
  <c r="M48" i="5" s="1"/>
  <c r="L36" i="5"/>
  <c r="J36" i="5"/>
  <c r="I36" i="5"/>
  <c r="H36" i="5"/>
  <c r="H48" i="5" s="1"/>
  <c r="R26" i="5"/>
  <c r="O26" i="5"/>
  <c r="N26" i="5"/>
  <c r="M26" i="5"/>
  <c r="F26" i="5"/>
  <c r="E26" i="5"/>
  <c r="D26" i="5"/>
  <c r="C26" i="5"/>
  <c r="C48" i="5" l="1"/>
  <c r="J48" i="5"/>
  <c r="O48" i="5"/>
  <c r="N48" i="5"/>
  <c r="I48" i="5"/>
  <c r="Q48" i="5"/>
  <c r="L48" i="5"/>
  <c r="D48" i="5"/>
  <c r="T50" i="5" s="1"/>
  <c r="D28" i="5"/>
  <c r="F28" i="5"/>
  <c r="V26" i="5"/>
  <c r="E28" i="5"/>
  <c r="O28" i="5"/>
  <c r="T24" i="4"/>
  <c r="R50" i="5" l="1"/>
  <c r="O50" i="5"/>
  <c r="D50" i="5"/>
  <c r="M50" i="5"/>
  <c r="N50" i="5"/>
  <c r="I50" i="5"/>
  <c r="Q50" i="5"/>
  <c r="H50" i="5"/>
  <c r="J50" i="5"/>
  <c r="L50" i="5"/>
  <c r="C50" i="5"/>
  <c r="T23" i="4"/>
  <c r="F48" i="4" l="1"/>
  <c r="E48" i="4"/>
  <c r="T47" i="4"/>
  <c r="R47" i="4"/>
  <c r="Q47" i="4"/>
  <c r="O47" i="4"/>
  <c r="N47" i="4"/>
  <c r="M47" i="4"/>
  <c r="L47" i="4"/>
  <c r="J47" i="4"/>
  <c r="I47" i="4"/>
  <c r="H47" i="4"/>
  <c r="D47" i="4"/>
  <c r="C47" i="4"/>
  <c r="T46" i="4"/>
  <c r="R46" i="4"/>
  <c r="Q46" i="4"/>
  <c r="O46" i="4"/>
  <c r="N46" i="4"/>
  <c r="M46" i="4"/>
  <c r="L46" i="4"/>
  <c r="J46" i="4"/>
  <c r="I46" i="4"/>
  <c r="H46" i="4"/>
  <c r="D46" i="4"/>
  <c r="C46" i="4"/>
  <c r="T45" i="4"/>
  <c r="R45" i="4"/>
  <c r="Q45" i="4"/>
  <c r="O45" i="4"/>
  <c r="N45" i="4"/>
  <c r="M45" i="4"/>
  <c r="L45" i="4"/>
  <c r="J45" i="4"/>
  <c r="I45" i="4"/>
  <c r="H45" i="4"/>
  <c r="D45" i="4"/>
  <c r="C45" i="4"/>
  <c r="T44" i="4"/>
  <c r="R44" i="4"/>
  <c r="Q44" i="4"/>
  <c r="O44" i="4"/>
  <c r="N44" i="4"/>
  <c r="M44" i="4"/>
  <c r="L44" i="4"/>
  <c r="J44" i="4"/>
  <c r="I44" i="4"/>
  <c r="H44" i="4"/>
  <c r="D44" i="4"/>
  <c r="C44" i="4"/>
  <c r="T43" i="4"/>
  <c r="R43" i="4"/>
  <c r="Q43" i="4"/>
  <c r="O43" i="4"/>
  <c r="N43" i="4"/>
  <c r="M43" i="4"/>
  <c r="L43" i="4"/>
  <c r="J43" i="4"/>
  <c r="I43" i="4"/>
  <c r="H43" i="4"/>
  <c r="D43" i="4"/>
  <c r="C43" i="4"/>
  <c r="T42" i="4"/>
  <c r="R42" i="4"/>
  <c r="Q42" i="4"/>
  <c r="O42" i="4"/>
  <c r="N42" i="4"/>
  <c r="M42" i="4"/>
  <c r="L42" i="4"/>
  <c r="J42" i="4"/>
  <c r="I42" i="4"/>
  <c r="H42" i="4"/>
  <c r="D42" i="4"/>
  <c r="C42" i="4"/>
  <c r="T41" i="4"/>
  <c r="R41" i="4"/>
  <c r="Q41" i="4"/>
  <c r="O41" i="4"/>
  <c r="N41" i="4"/>
  <c r="M41" i="4"/>
  <c r="L41" i="4"/>
  <c r="J41" i="4"/>
  <c r="I41" i="4"/>
  <c r="H41" i="4"/>
  <c r="D41" i="4"/>
  <c r="C41" i="4"/>
  <c r="T40" i="4"/>
  <c r="R40" i="4"/>
  <c r="Q40" i="4"/>
  <c r="O40" i="4"/>
  <c r="N40" i="4"/>
  <c r="M40" i="4"/>
  <c r="L40" i="4"/>
  <c r="J40" i="4"/>
  <c r="I40" i="4"/>
  <c r="H40" i="4"/>
  <c r="D40" i="4"/>
  <c r="C40" i="4"/>
  <c r="T39" i="4"/>
  <c r="R39" i="4"/>
  <c r="Q39" i="4"/>
  <c r="O39" i="4"/>
  <c r="N39" i="4"/>
  <c r="M39" i="4"/>
  <c r="L39" i="4"/>
  <c r="J39" i="4"/>
  <c r="I39" i="4"/>
  <c r="H39" i="4"/>
  <c r="D39" i="4"/>
  <c r="C39" i="4"/>
  <c r="T38" i="4"/>
  <c r="R38" i="4"/>
  <c r="Q38" i="4"/>
  <c r="O38" i="4"/>
  <c r="N38" i="4"/>
  <c r="M38" i="4"/>
  <c r="L38" i="4"/>
  <c r="J38" i="4"/>
  <c r="I38" i="4"/>
  <c r="H38" i="4"/>
  <c r="D38" i="4"/>
  <c r="C38" i="4"/>
  <c r="T37" i="4"/>
  <c r="R37" i="4"/>
  <c r="Q37" i="4"/>
  <c r="O37" i="4"/>
  <c r="N37" i="4"/>
  <c r="M37" i="4"/>
  <c r="L37" i="4"/>
  <c r="J37" i="4"/>
  <c r="I37" i="4"/>
  <c r="H37" i="4"/>
  <c r="D37" i="4"/>
  <c r="C37" i="4"/>
  <c r="T36" i="4"/>
  <c r="T48" i="4" s="1"/>
  <c r="R36" i="4"/>
  <c r="R48" i="4" s="1"/>
  <c r="Q36" i="4"/>
  <c r="O36" i="4"/>
  <c r="N36" i="4"/>
  <c r="N48" i="4" s="1"/>
  <c r="M36" i="4"/>
  <c r="M48" i="4" s="1"/>
  <c r="L36" i="4"/>
  <c r="J36" i="4"/>
  <c r="I36" i="4"/>
  <c r="I48" i="4" s="1"/>
  <c r="H36" i="4"/>
  <c r="H48" i="4" s="1"/>
  <c r="D36" i="4"/>
  <c r="D48" i="4" s="1"/>
  <c r="C36" i="4"/>
  <c r="C48" i="4" s="1"/>
  <c r="R26" i="4"/>
  <c r="O26" i="4"/>
  <c r="N26" i="4"/>
  <c r="M26" i="4"/>
  <c r="F26" i="4"/>
  <c r="E26" i="4"/>
  <c r="D26" i="4"/>
  <c r="C26" i="4"/>
  <c r="T22" i="4"/>
  <c r="T21" i="4"/>
  <c r="T20" i="4"/>
  <c r="T19" i="4"/>
  <c r="T18" i="4"/>
  <c r="T17" i="4"/>
  <c r="T16" i="4"/>
  <c r="T15" i="4"/>
  <c r="T14" i="4"/>
  <c r="J48" i="4" l="1"/>
  <c r="J50" i="4" s="1"/>
  <c r="L48" i="4"/>
  <c r="L50" i="4" s="1"/>
  <c r="Q48" i="4"/>
  <c r="Q50" i="4" s="1"/>
  <c r="T26" i="4"/>
  <c r="D50" i="4" s="1"/>
  <c r="O28" i="4"/>
  <c r="O48" i="4"/>
  <c r="O50" i="4" s="1"/>
  <c r="I50" i="4"/>
  <c r="N50" i="4"/>
  <c r="T50" i="4"/>
  <c r="H50" i="4"/>
  <c r="M50" i="4"/>
  <c r="R50" i="4"/>
  <c r="D28" i="4"/>
  <c r="E28" i="4"/>
  <c r="F28" i="4"/>
  <c r="C50" i="4"/>
  <c r="S45" i="3"/>
  <c r="Q45" i="3"/>
  <c r="P45" i="3"/>
  <c r="N45" i="3"/>
  <c r="M45" i="3"/>
  <c r="L45" i="3"/>
  <c r="K45" i="3"/>
  <c r="I45" i="3"/>
  <c r="H45" i="3"/>
  <c r="G45" i="3"/>
  <c r="E45" i="3"/>
  <c r="D45" i="3"/>
  <c r="C45" i="3"/>
  <c r="S44" i="3"/>
  <c r="Q44" i="3"/>
  <c r="Q48" i="3" s="1"/>
  <c r="P44" i="3"/>
  <c r="N44" i="3"/>
  <c r="M44" i="3"/>
  <c r="L44" i="3"/>
  <c r="L48" i="3" s="1"/>
  <c r="K44" i="3"/>
  <c r="I44" i="3"/>
  <c r="H44" i="3"/>
  <c r="G44" i="3"/>
  <c r="G48" i="3" s="1"/>
  <c r="E44" i="3"/>
  <c r="D44" i="3"/>
  <c r="C44" i="3"/>
  <c r="S26" i="3"/>
  <c r="Q26" i="3"/>
  <c r="N26" i="3"/>
  <c r="M26" i="3"/>
  <c r="L26" i="3"/>
  <c r="G26" i="3"/>
  <c r="I26" i="3" s="1"/>
  <c r="F26" i="3"/>
  <c r="E26" i="3"/>
  <c r="D26" i="3"/>
  <c r="C26" i="3"/>
  <c r="D48" i="3" l="1"/>
  <c r="I48" i="3"/>
  <c r="N48" i="3"/>
  <c r="N28" i="3"/>
  <c r="D28" i="3"/>
  <c r="E28" i="3"/>
  <c r="F28" i="3"/>
  <c r="G28" i="3"/>
  <c r="C48" i="3"/>
  <c r="D50" i="3" s="1"/>
  <c r="H48" i="3"/>
  <c r="M48" i="3"/>
  <c r="S48" i="3"/>
  <c r="E48" i="3"/>
  <c r="E50" i="3" s="1"/>
  <c r="K48" i="3"/>
  <c r="P48" i="3"/>
  <c r="N50" i="3" l="1"/>
  <c r="L50" i="3"/>
  <c r="M50" i="3"/>
  <c r="S50" i="3"/>
  <c r="K50" i="3"/>
  <c r="G50" i="3"/>
  <c r="H50" i="3"/>
  <c r="I50" i="3"/>
  <c r="P50" i="3"/>
  <c r="Q50" i="3"/>
</calcChain>
</file>

<file path=xl/sharedStrings.xml><?xml version="1.0" encoding="utf-8"?>
<sst xmlns="http://schemas.openxmlformats.org/spreadsheetml/2006/main" count="683" uniqueCount="87">
  <si>
    <t>Rivers Casino and Resort</t>
  </si>
  <si>
    <t xml:space="preserve">1 Rush Street </t>
  </si>
  <si>
    <t>Schenectady, NY 12308</t>
  </si>
  <si>
    <t>www.riverscasinoandresort.com</t>
  </si>
  <si>
    <t>(518) 579-8800</t>
  </si>
  <si>
    <t>Total Gross Gaming Revenue (GGR) - Fiscal Year 2018/2019</t>
  </si>
  <si>
    <t>Slot/ETG's</t>
  </si>
  <si>
    <t>Table Games</t>
  </si>
  <si>
    <t>Poker Tables</t>
  </si>
  <si>
    <t>Promotional</t>
  </si>
  <si>
    <t>Avg Daily</t>
  </si>
  <si>
    <t xml:space="preserve"> </t>
  </si>
  <si>
    <t>Credits</t>
  </si>
  <si>
    <t>Slot Gaming</t>
  </si>
  <si>
    <t>Slot &amp; ETG</t>
  </si>
  <si>
    <t>Slots &amp;</t>
  </si>
  <si>
    <t>Win/Unit</t>
  </si>
  <si>
    <t>Table Game</t>
  </si>
  <si>
    <t>Poker Table</t>
  </si>
  <si>
    <t>Month</t>
  </si>
  <si>
    <t>Played</t>
  </si>
  <si>
    <t>Won</t>
  </si>
  <si>
    <t>GGR</t>
  </si>
  <si>
    <t>ETG's</t>
  </si>
  <si>
    <t>per Day</t>
  </si>
  <si>
    <t>Tables</t>
  </si>
  <si>
    <t>Drop</t>
  </si>
  <si>
    <t>Total GGR</t>
  </si>
  <si>
    <t>Total</t>
  </si>
  <si>
    <t>Distribution of Total Gross Gaming Revenue per Legislation</t>
  </si>
  <si>
    <t>Distribution of Gaming Tax</t>
  </si>
  <si>
    <t>Prior Period</t>
  </si>
  <si>
    <t>Education/</t>
  </si>
  <si>
    <t>Host Muni</t>
  </si>
  <si>
    <t>Host County</t>
  </si>
  <si>
    <t>Net Revenue</t>
  </si>
  <si>
    <t>Unclaimed</t>
  </si>
  <si>
    <t>Adjustments</t>
  </si>
  <si>
    <t>Property Tax</t>
  </si>
  <si>
    <t>City of</t>
  </si>
  <si>
    <t>Schenectady</t>
  </si>
  <si>
    <t>Non-host Counties within the Region</t>
  </si>
  <si>
    <t>to Operator</t>
  </si>
  <si>
    <t>Gaming Tax</t>
  </si>
  <si>
    <t>Funds</t>
  </si>
  <si>
    <t>Fines &amp; Penalties</t>
  </si>
  <si>
    <t>Relief</t>
  </si>
  <si>
    <t>County</t>
  </si>
  <si>
    <t>Albany</t>
  </si>
  <si>
    <t>Fulton</t>
  </si>
  <si>
    <t>Montgomery</t>
  </si>
  <si>
    <t>Rensselaer</t>
  </si>
  <si>
    <t>Saratoga</t>
  </si>
  <si>
    <t>Schoharie</t>
  </si>
  <si>
    <t>Washington</t>
  </si>
  <si>
    <t>Notes:</t>
  </si>
  <si>
    <t xml:space="preserve">1) The gaming tax of 45% on Slot/ETG revenue, 10% on Table Game revenue, prior period adjustments, fines, and penalties, are allocated 80% to Education/Property Tax Relief, 10% split equally between the host municipality </t>
  </si>
  <si>
    <t xml:space="preserve">and host county, and 10% split among non-host counties within the region on a per capita basis. </t>
  </si>
  <si>
    <t>2) Distributions to municipalities and counties are made by the Gaming Commission on a quarterly basis.</t>
  </si>
  <si>
    <t>3) Adjustments, Fines, and Penalties are comprised of gaming tax audit adjustments, fines, and penalties due to the Commercial Gaming Revenue Fund pursuant to Racing, Pari-Mutuel Wagering and Breeding Law.</t>
  </si>
  <si>
    <t xml:space="preserve"> Fines due to OASAS are not included in these figures. </t>
  </si>
  <si>
    <t>4) The minimum number of table games in each facility license is verified by combining the total Average Daily Tables &amp; Average Daily Poker Tables on a weekly basis. Fluctuations may occur.</t>
  </si>
  <si>
    <t>Total Gross Gaming Revenue (GGR) - Fiscal Year 2017/2018</t>
  </si>
  <si>
    <t xml:space="preserve">Progressive </t>
  </si>
  <si>
    <t>Adjustment</t>
  </si>
  <si>
    <t xml:space="preserve">3) Prior period adjustments are comprised of gaming tax audit adjustments  in which the adjustment occurs subsequent to the close of the month in which the event occured. </t>
  </si>
  <si>
    <t xml:space="preserve">    Fines and penalties are comprised of amounts received in the period. Fines distributed to OASAS are not included in these figures. </t>
  </si>
  <si>
    <t>Total Gross Gaming Revenue (GGR) - Fiscal Year 2016/2017</t>
  </si>
  <si>
    <t>GGR After Tax</t>
  </si>
  <si>
    <t xml:space="preserve">1) The gaming tax of 45% on Slot/ETG revenue and 10% on Table Game revenue is allocated 80%  to Education/Property Tax Relief, 10% split equally between the host municipality </t>
  </si>
  <si>
    <t>Total Gross Gaming Revenue (GGR) - Fiscal Year 2019/2020</t>
  </si>
  <si>
    <t>Report compiled by the New York State Gaming Commission based on data provided by Rivers Casino and Resort</t>
  </si>
  <si>
    <t>Sports Wagering</t>
  </si>
  <si>
    <t xml:space="preserve">1) The gaming tax of 45% on Slot/ETG revenue, 10% on Table Game and Sports Wagering revenue, prior period adjustments, fines, and penalties, are allocated 80% to Education/Property Tax Relief, 10% split equally between the host municipality </t>
  </si>
  <si>
    <t xml:space="preserve"> Funds due to OASAS are not included in these figures. </t>
  </si>
  <si>
    <t>5) Sports wagering gross gaming revenue is reported on a cash basis in New York State. Wagers on future events are taxed as current revenue and payouts for winning wagers are recognized in the period redeemed.</t>
  </si>
  <si>
    <t>Total Gross Gaming Revenue (GGR) - Fiscal Year 2020/2021</t>
  </si>
  <si>
    <t>Total Gross Gaming Revenue (GGR) - Fiscal Year 2021/2022</t>
  </si>
  <si>
    <t xml:space="preserve">1) The gaming tax of 30% on Slot/ETG revenue, 10% on Table Game and Sports Wagering revenue, prior period adjustments, fines, and penalties, are allocated 80% to Education/Property Tax Relief, 10% split equally between the host municipality </t>
  </si>
  <si>
    <t>Handle</t>
  </si>
  <si>
    <t>Sports</t>
  </si>
  <si>
    <t>Wagering</t>
  </si>
  <si>
    <t xml:space="preserve">Sports </t>
  </si>
  <si>
    <t>Total Gross Gaming Revenue (GGR) - Fiscal Year 2022/2023</t>
  </si>
  <si>
    <t>q</t>
  </si>
  <si>
    <t>Total Gross Gaming Revenue (GGR) - Fiscal Year 2023/2024</t>
  </si>
  <si>
    <t xml:space="preserve">1) The gaming tax of 30% on Slot/ETG revenue, 10% on Table Game and Sports Wagering revenue, prior period adjustments, fines, penalties, and unclaimed funds are allocated 80% to Education/Property Tax Relief, 10% split equally between the host municipality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</si>
</sst>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[$-409]mmm\-yy;@"/>
    <numFmt numFmtId="165" formatCode="0;\-0;;@"/>
    <numFmt numFmtId="166" formatCode=";;;"/>
    <numFmt numFmtId="167" formatCode="0.00%_);[Red]\(0.00%\)"/>
    <numFmt numFmtId="168" formatCode="0.00_);[Red]\(0.00\)"/>
    <numFmt numFmtId="169" formatCode="0_);\(0\)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u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0" fillId="2" borderId="0" xfId="0" applyFill="1" applyAlignment="1"/>
    <xf numFmtId="0" fontId="0" fillId="2" borderId="0" xfId="0" applyFill="1" applyAlignment="1">
      <alignment horizontal="center"/>
    </xf>
    <xf numFmtId="6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164" fontId="7" fillId="0" borderId="0" xfId="0" applyNumberFormat="1" applyFont="1" applyAlignment="1">
      <alignment horizontal="center"/>
    </xf>
    <xf numFmtId="6" fontId="7" fillId="0" borderId="4" xfId="0" applyNumberFormat="1" applyFont="1" applyBorder="1" applyAlignment="1">
      <alignment horizontal="center"/>
    </xf>
    <xf numFmtId="6" fontId="7" fillId="0" borderId="0" xfId="0" applyNumberFormat="1" applyFont="1" applyAlignment="1">
      <alignment horizontal="center"/>
    </xf>
    <xf numFmtId="6" fontId="7" fillId="0" borderId="0" xfId="0" applyNumberFormat="1" applyFont="1" applyBorder="1" applyAlignment="1"/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6" fontId="8" fillId="0" borderId="0" xfId="0" applyNumberFormat="1" applyFont="1" applyAlignment="1">
      <alignment horizontal="center"/>
    </xf>
    <xf numFmtId="6" fontId="9" fillId="0" borderId="0" xfId="0" applyNumberFormat="1" applyFont="1" applyAlignment="1">
      <alignment horizontal="center"/>
    </xf>
    <xf numFmtId="38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6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6" fontId="9" fillId="0" borderId="5" xfId="0" applyNumberFormat="1" applyFont="1" applyBorder="1" applyAlignment="1">
      <alignment horizontal="center"/>
    </xf>
    <xf numFmtId="38" fontId="9" fillId="0" borderId="5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5" fontId="0" fillId="0" borderId="0" xfId="0" applyNumberFormat="1" applyAlignment="1"/>
    <xf numFmtId="37" fontId="0" fillId="0" borderId="0" xfId="0" applyNumberFormat="1" applyAlignment="1"/>
    <xf numFmtId="6" fontId="0" fillId="0" borderId="0" xfId="0" applyNumberFormat="1" applyAlignment="1"/>
    <xf numFmtId="165" fontId="0" fillId="0" borderId="0" xfId="0" applyNumberFormat="1" applyFill="1" applyAlignment="1"/>
    <xf numFmtId="5" fontId="0" fillId="0" borderId="0" xfId="0" applyNumberFormat="1" applyFill="1" applyAlignment="1"/>
    <xf numFmtId="38" fontId="0" fillId="0" borderId="0" xfId="0" applyNumberFormat="1" applyAlignment="1"/>
    <xf numFmtId="0" fontId="0" fillId="0" borderId="0" xfId="0" applyAlignment="1"/>
    <xf numFmtId="0" fontId="0" fillId="0" borderId="0" xfId="0" applyNumberFormat="1" applyAlignment="1"/>
    <xf numFmtId="166" fontId="0" fillId="0" borderId="0" xfId="0" applyNumberFormat="1" applyAlignment="1"/>
    <xf numFmtId="5" fontId="0" fillId="0" borderId="6" xfId="0" applyNumberFormat="1" applyBorder="1" applyAlignment="1"/>
    <xf numFmtId="3" fontId="0" fillId="0" borderId="6" xfId="0" applyNumberFormat="1" applyBorder="1" applyAlignment="1"/>
    <xf numFmtId="5" fontId="0" fillId="0" borderId="6" xfId="0" applyNumberFormat="1" applyFill="1" applyBorder="1" applyAlignment="1"/>
    <xf numFmtId="5" fontId="0" fillId="0" borderId="0" xfId="0" applyNumberFormat="1" applyFill="1" applyBorder="1" applyAlignment="1"/>
    <xf numFmtId="165" fontId="0" fillId="0" borderId="6" xfId="0" applyNumberFormat="1" applyBorder="1" applyAlignment="1"/>
    <xf numFmtId="5" fontId="0" fillId="0" borderId="0" xfId="0" applyNumberFormat="1" applyBorder="1" applyAlignment="1"/>
    <xf numFmtId="38" fontId="0" fillId="0" borderId="6" xfId="0" applyNumberFormat="1" applyBorder="1" applyAlignment="1"/>
    <xf numFmtId="6" fontId="0" fillId="0" borderId="0" xfId="0" applyNumberFormat="1" applyBorder="1" applyAlignment="1"/>
    <xf numFmtId="38" fontId="0" fillId="0" borderId="0" xfId="0" applyNumberFormat="1" applyBorder="1" applyAlignment="1"/>
    <xf numFmtId="167" fontId="0" fillId="0" borderId="0" xfId="0" applyNumberFormat="1" applyAlignment="1">
      <alignment horizontal="center"/>
    </xf>
    <xf numFmtId="167" fontId="0" fillId="0" borderId="0" xfId="0" applyNumberFormat="1" applyBorder="1" applyAlignment="1"/>
    <xf numFmtId="10" fontId="0" fillId="0" borderId="0" xfId="0" applyNumberFormat="1" applyFill="1" applyBorder="1" applyAlignment="1"/>
    <xf numFmtId="167" fontId="0" fillId="0" borderId="0" xfId="0" applyNumberFormat="1" applyAlignment="1"/>
    <xf numFmtId="167" fontId="0" fillId="2" borderId="0" xfId="0" applyNumberFormat="1" applyFill="1" applyAlignment="1"/>
    <xf numFmtId="164" fontId="7" fillId="0" borderId="0" xfId="0" applyNumberFormat="1" applyFont="1" applyFill="1" applyBorder="1" applyAlignment="1">
      <alignment horizontal="center"/>
    </xf>
    <xf numFmtId="167" fontId="0" fillId="0" borderId="0" xfId="0" applyNumberFormat="1" applyFill="1" applyAlignment="1"/>
    <xf numFmtId="167" fontId="9" fillId="0" borderId="0" xfId="0" applyNumberFormat="1" applyFont="1" applyAlignment="1">
      <alignment horizontal="center"/>
    </xf>
    <xf numFmtId="6" fontId="9" fillId="0" borderId="0" xfId="0" applyNumberFormat="1" applyFont="1" applyFill="1" applyAlignment="1">
      <alignment horizontal="center"/>
    </xf>
    <xf numFmtId="167" fontId="9" fillId="0" borderId="0" xfId="0" applyNumberFormat="1" applyFont="1" applyFill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67" fontId="9" fillId="2" borderId="0" xfId="0" applyNumberFormat="1" applyFont="1" applyFill="1" applyAlignment="1">
      <alignment horizontal="center"/>
    </xf>
    <xf numFmtId="167" fontId="9" fillId="0" borderId="5" xfId="0" applyNumberFormat="1" applyFont="1" applyBorder="1" applyAlignment="1">
      <alignment horizontal="center"/>
    </xf>
    <xf numFmtId="6" fontId="9" fillId="0" borderId="5" xfId="0" applyNumberFormat="1" applyFont="1" applyFill="1" applyBorder="1" applyAlignment="1">
      <alignment horizontal="center"/>
    </xf>
    <xf numFmtId="167" fontId="9" fillId="0" borderId="5" xfId="0" applyNumberFormat="1" applyFont="1" applyFill="1" applyBorder="1" applyAlignment="1">
      <alignment horizontal="center"/>
    </xf>
    <xf numFmtId="167" fontId="9" fillId="0" borderId="7" xfId="0" applyNumberFormat="1" applyFont="1" applyFill="1" applyBorder="1" applyAlignment="1">
      <alignment horizontal="center"/>
    </xf>
    <xf numFmtId="167" fontId="9" fillId="0" borderId="2" xfId="0" applyNumberFormat="1" applyFont="1" applyBorder="1" applyAlignment="1">
      <alignment horizontal="center"/>
    </xf>
    <xf numFmtId="5" fontId="0" fillId="0" borderId="7" xfId="0" applyNumberFormat="1" applyBorder="1" applyAlignment="1"/>
    <xf numFmtId="38" fontId="0" fillId="2" borderId="0" xfId="0" applyNumberFormat="1" applyFill="1" applyAlignment="1"/>
    <xf numFmtId="166" fontId="0" fillId="0" borderId="0" xfId="0" applyNumberFormat="1" applyBorder="1" applyAlignment="1"/>
    <xf numFmtId="6" fontId="0" fillId="0" borderId="6" xfId="0" applyNumberFormat="1" applyBorder="1" applyAlignment="1"/>
    <xf numFmtId="8" fontId="0" fillId="2" borderId="0" xfId="0" applyNumberFormat="1" applyFill="1" applyAlignment="1"/>
    <xf numFmtId="167" fontId="10" fillId="0" borderId="0" xfId="0" applyNumberFormat="1" applyFont="1" applyAlignment="1">
      <alignment horizontal="left"/>
    </xf>
    <xf numFmtId="167" fontId="11" fillId="0" borderId="0" xfId="0" applyNumberFormat="1" applyFont="1" applyFill="1" applyAlignment="1">
      <alignment horizontal="left"/>
    </xf>
    <xf numFmtId="167" fontId="0" fillId="0" borderId="0" xfId="0" applyNumberFormat="1" applyFill="1" applyAlignment="1">
      <alignment horizontal="center"/>
    </xf>
    <xf numFmtId="167" fontId="0" fillId="0" borderId="0" xfId="0" applyNumberFormat="1" applyFill="1" applyBorder="1" applyAlignment="1"/>
    <xf numFmtId="168" fontId="0" fillId="0" borderId="0" xfId="0" applyNumberFormat="1" applyFill="1" applyBorder="1" applyAlignment="1"/>
    <xf numFmtId="8" fontId="0" fillId="0" borderId="0" xfId="0" applyNumberFormat="1" applyFill="1" applyBorder="1" applyAlignment="1"/>
    <xf numFmtId="8" fontId="0" fillId="0" borderId="0" xfId="0" applyNumberFormat="1" applyFill="1" applyAlignment="1"/>
    <xf numFmtId="167" fontId="11" fillId="0" borderId="0" xfId="0" applyNumberFormat="1" applyFont="1" applyFill="1" applyAlignment="1">
      <alignment horizontal="left" wrapText="1"/>
    </xf>
    <xf numFmtId="167" fontId="11" fillId="0" borderId="0" xfId="0" applyNumberFormat="1" applyFont="1" applyFill="1" applyAlignment="1"/>
    <xf numFmtId="167" fontId="11" fillId="0" borderId="0" xfId="0" applyNumberFormat="1" applyFont="1" applyAlignment="1">
      <alignment horizontal="left"/>
    </xf>
    <xf numFmtId="167" fontId="11" fillId="2" borderId="0" xfId="0" applyNumberFormat="1" applyFont="1" applyFill="1" applyAlignment="1">
      <alignment horizontal="left"/>
    </xf>
    <xf numFmtId="164" fontId="0" fillId="2" borderId="0" xfId="0" applyNumberFormat="1" applyFill="1" applyAlignment="1">
      <alignment horizontal="center" wrapText="1"/>
    </xf>
    <xf numFmtId="6" fontId="0" fillId="2" borderId="0" xfId="0" applyNumberFormat="1" applyFill="1" applyAlignment="1">
      <alignment wrapText="1"/>
    </xf>
    <xf numFmtId="38" fontId="0" fillId="2" borderId="0" xfId="0" applyNumberFormat="1" applyFill="1" applyAlignment="1">
      <alignment wrapText="1"/>
    </xf>
    <xf numFmtId="6" fontId="0" fillId="2" borderId="0" xfId="0" applyNumberFormat="1" applyFill="1" applyAlignment="1"/>
    <xf numFmtId="164" fontId="0" fillId="2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6" xfId="0" applyNumberFormat="1" applyBorder="1" applyAlignment="1"/>
    <xf numFmtId="8" fontId="0" fillId="0" borderId="0" xfId="0" applyNumberFormat="1" applyAlignment="1"/>
    <xf numFmtId="164" fontId="0" fillId="0" borderId="0" xfId="0" applyNumberFormat="1" applyAlignment="1">
      <alignment horizontal="center" wrapText="1"/>
    </xf>
    <xf numFmtId="6" fontId="0" fillId="0" borderId="0" xfId="0" applyNumberFormat="1" applyAlignment="1">
      <alignment wrapText="1"/>
    </xf>
    <xf numFmtId="38" fontId="0" fillId="0" borderId="0" xfId="0" applyNumberFormat="1" applyAlignment="1">
      <alignment wrapText="1"/>
    </xf>
    <xf numFmtId="165" fontId="0" fillId="0" borderId="0" xfId="0" applyNumberFormat="1" applyAlignment="1"/>
    <xf numFmtId="3" fontId="0" fillId="0" borderId="0" xfId="0" applyNumberFormat="1" applyAlignment="1"/>
    <xf numFmtId="0" fontId="0" fillId="0" borderId="0" xfId="0" applyNumberFormat="1" applyBorder="1" applyAlignment="1"/>
    <xf numFmtId="167" fontId="0" fillId="0" borderId="7" xfId="0" applyNumberFormat="1" applyBorder="1" applyAlignment="1"/>
    <xf numFmtId="165" fontId="0" fillId="0" borderId="0" xfId="0" applyNumberFormat="1" applyBorder="1" applyAlignment="1"/>
    <xf numFmtId="167" fontId="9" fillId="0" borderId="5" xfId="0" applyNumberFormat="1" applyFont="1" applyFill="1" applyBorder="1" applyAlignment="1">
      <alignment horizontal="center"/>
    </xf>
    <xf numFmtId="0" fontId="12" fillId="0" borderId="0" xfId="0" applyFont="1"/>
    <xf numFmtId="37" fontId="0" fillId="0" borderId="6" xfId="0" applyNumberFormat="1" applyBorder="1" applyAlignment="1"/>
    <xf numFmtId="6" fontId="7" fillId="0" borderId="0" xfId="0" applyNumberFormat="1" applyFont="1" applyBorder="1" applyAlignment="1">
      <alignment horizontal="center"/>
    </xf>
    <xf numFmtId="6" fontId="7" fillId="0" borderId="8" xfId="0" applyNumberFormat="1" applyFont="1" applyBorder="1" applyAlignment="1">
      <alignment horizontal="center"/>
    </xf>
    <xf numFmtId="164" fontId="7" fillId="0" borderId="0" xfId="0" applyNumberFormat="1" applyFont="1" applyFill="1" applyBorder="1" applyAlignment="1"/>
    <xf numFmtId="167" fontId="9" fillId="0" borderId="5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9" fontId="0" fillId="0" borderId="0" xfId="0" applyNumberFormat="1" applyAlignment="1"/>
    <xf numFmtId="167" fontId="9" fillId="0" borderId="5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/>
    <xf numFmtId="167" fontId="9" fillId="0" borderId="5" xfId="0" applyNumberFormat="1" applyFont="1" applyFill="1" applyBorder="1" applyAlignment="1">
      <alignment horizontal="center"/>
    </xf>
    <xf numFmtId="167" fontId="9" fillId="0" borderId="5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7" fontId="9" fillId="0" borderId="5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7" fontId="9" fillId="0" borderId="5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6" fontId="7" fillId="0" borderId="1" xfId="0" applyNumberFormat="1" applyFont="1" applyBorder="1" applyAlignment="1">
      <alignment horizontal="center"/>
    </xf>
    <xf numFmtId="6" fontId="7" fillId="0" borderId="2" xfId="0" applyNumberFormat="1" applyFont="1" applyBorder="1" applyAlignment="1">
      <alignment horizontal="center"/>
    </xf>
    <xf numFmtId="6" fontId="7" fillId="0" borderId="3" xfId="0" applyNumberFormat="1" applyFont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6" fontId="1" fillId="0" borderId="0" xfId="0" applyNumberFormat="1" applyFont="1" applyAlignment="1">
      <alignment horizontal="center"/>
    </xf>
    <xf numFmtId="6" fontId="2" fillId="0" borderId="0" xfId="0" applyNumberFormat="1" applyFont="1" applyAlignment="1">
      <alignment horizontal="center"/>
    </xf>
    <xf numFmtId="6" fontId="3" fillId="0" borderId="0" xfId="1" applyNumberFormat="1" applyFill="1" applyAlignment="1" applyProtection="1">
      <alignment horizontal="center"/>
    </xf>
    <xf numFmtId="6" fontId="4" fillId="0" borderId="0" xfId="1" applyNumberFormat="1" applyFont="1" applyFill="1" applyAlignment="1" applyProtection="1">
      <alignment horizontal="center"/>
    </xf>
    <xf numFmtId="6" fontId="5" fillId="0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0</xdr:row>
      <xdr:rowOff>28575</xdr:rowOff>
    </xdr:from>
    <xdr:ext cx="2333625" cy="1176867"/>
    <xdr:pic>
      <xdr:nvPicPr>
        <xdr:cNvPr id="2" name="Picture 1">
          <a:extLst>
            <a:ext uri="{FF2B5EF4-FFF2-40B4-BE49-F238E27FC236}">
              <a16:creationId xmlns:a16="http://schemas.microsoft.com/office/drawing/2014/main" id="{EC1E086A-AAF3-46A8-84A1-FF8A1520F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"/>
          <a:ext cx="2333625" cy="1176867"/>
        </a:xfrm>
        <a:prstGeom prst="rect">
          <a:avLst/>
        </a:prstGeom>
      </xdr:spPr>
    </xdr:pic>
    <xdr:clientData/>
  </xdr:oneCellAnchor>
  <xdr:oneCellAnchor>
    <xdr:from>
      <xdr:col>0</xdr:col>
      <xdr:colOff>257175</xdr:colOff>
      <xdr:row>0</xdr:row>
      <xdr:rowOff>28575</xdr:rowOff>
    </xdr:from>
    <xdr:ext cx="2333625" cy="1176867"/>
    <xdr:pic>
      <xdr:nvPicPr>
        <xdr:cNvPr id="3" name="Picture 2">
          <a:extLst>
            <a:ext uri="{FF2B5EF4-FFF2-40B4-BE49-F238E27FC236}">
              <a16:creationId xmlns:a16="http://schemas.microsoft.com/office/drawing/2014/main" id="{9AC26809-33A0-4688-AD67-693A394DB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"/>
          <a:ext cx="2333625" cy="11768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0</xdr:row>
      <xdr:rowOff>28575</xdr:rowOff>
    </xdr:from>
    <xdr:ext cx="2333625" cy="1176867"/>
    <xdr:pic>
      <xdr:nvPicPr>
        <xdr:cNvPr id="2" name="Picture 1">
          <a:extLst>
            <a:ext uri="{FF2B5EF4-FFF2-40B4-BE49-F238E27FC236}">
              <a16:creationId xmlns:a16="http://schemas.microsoft.com/office/drawing/2014/main" id="{75CB272B-8BE2-4815-8C22-0E3DECBED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"/>
          <a:ext cx="2333625" cy="1176867"/>
        </a:xfrm>
        <a:prstGeom prst="rect">
          <a:avLst/>
        </a:prstGeom>
      </xdr:spPr>
    </xdr:pic>
    <xdr:clientData/>
  </xdr:oneCellAnchor>
  <xdr:oneCellAnchor>
    <xdr:from>
      <xdr:col>0</xdr:col>
      <xdr:colOff>257175</xdr:colOff>
      <xdr:row>0</xdr:row>
      <xdr:rowOff>28575</xdr:rowOff>
    </xdr:from>
    <xdr:ext cx="2333625" cy="1176867"/>
    <xdr:pic>
      <xdr:nvPicPr>
        <xdr:cNvPr id="3" name="Picture 2">
          <a:extLst>
            <a:ext uri="{FF2B5EF4-FFF2-40B4-BE49-F238E27FC236}">
              <a16:creationId xmlns:a16="http://schemas.microsoft.com/office/drawing/2014/main" id="{08CCD219-55EB-45FC-A4F1-4F720A5BF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"/>
          <a:ext cx="2333625" cy="11768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0</xdr:row>
      <xdr:rowOff>28575</xdr:rowOff>
    </xdr:from>
    <xdr:ext cx="2333625" cy="1176867"/>
    <xdr:pic>
      <xdr:nvPicPr>
        <xdr:cNvPr id="2" name="Picture 1">
          <a:extLst>
            <a:ext uri="{FF2B5EF4-FFF2-40B4-BE49-F238E27FC236}">
              <a16:creationId xmlns:a16="http://schemas.microsoft.com/office/drawing/2014/main" id="{FFD23FC9-AB1F-4BB9-9363-A7739CC20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"/>
          <a:ext cx="2333625" cy="1176867"/>
        </a:xfrm>
        <a:prstGeom prst="rect">
          <a:avLst/>
        </a:prstGeom>
      </xdr:spPr>
    </xdr:pic>
    <xdr:clientData/>
  </xdr:oneCellAnchor>
  <xdr:oneCellAnchor>
    <xdr:from>
      <xdr:col>0</xdr:col>
      <xdr:colOff>257175</xdr:colOff>
      <xdr:row>0</xdr:row>
      <xdr:rowOff>28575</xdr:rowOff>
    </xdr:from>
    <xdr:ext cx="2333625" cy="1176867"/>
    <xdr:pic>
      <xdr:nvPicPr>
        <xdr:cNvPr id="3" name="Picture 2">
          <a:extLst>
            <a:ext uri="{FF2B5EF4-FFF2-40B4-BE49-F238E27FC236}">
              <a16:creationId xmlns:a16="http://schemas.microsoft.com/office/drawing/2014/main" id="{D177DAE8-4EDC-43DF-AC4C-FB7AA206B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"/>
          <a:ext cx="2333625" cy="11768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0</xdr:row>
      <xdr:rowOff>28575</xdr:rowOff>
    </xdr:from>
    <xdr:ext cx="2333625" cy="1176867"/>
    <xdr:pic>
      <xdr:nvPicPr>
        <xdr:cNvPr id="2" name="Picture 1">
          <a:extLst>
            <a:ext uri="{FF2B5EF4-FFF2-40B4-BE49-F238E27FC236}">
              <a16:creationId xmlns:a16="http://schemas.microsoft.com/office/drawing/2014/main" id="{ADFA7DDC-2F5D-4CCD-A55A-C1D33455B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"/>
          <a:ext cx="2333625" cy="1176867"/>
        </a:xfrm>
        <a:prstGeom prst="rect">
          <a:avLst/>
        </a:prstGeom>
      </xdr:spPr>
    </xdr:pic>
    <xdr:clientData/>
  </xdr:oneCellAnchor>
  <xdr:oneCellAnchor>
    <xdr:from>
      <xdr:col>0</xdr:col>
      <xdr:colOff>257175</xdr:colOff>
      <xdr:row>0</xdr:row>
      <xdr:rowOff>28575</xdr:rowOff>
    </xdr:from>
    <xdr:ext cx="2333625" cy="1176867"/>
    <xdr:pic>
      <xdr:nvPicPr>
        <xdr:cNvPr id="3" name="Picture 2">
          <a:extLst>
            <a:ext uri="{FF2B5EF4-FFF2-40B4-BE49-F238E27FC236}">
              <a16:creationId xmlns:a16="http://schemas.microsoft.com/office/drawing/2014/main" id="{6A597768-31E6-435B-929A-A1CCB9349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"/>
          <a:ext cx="2333625" cy="11768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0</xdr:row>
      <xdr:rowOff>28575</xdr:rowOff>
    </xdr:from>
    <xdr:ext cx="2333625" cy="1176867"/>
    <xdr:pic>
      <xdr:nvPicPr>
        <xdr:cNvPr id="2" name="Picture 1">
          <a:extLst>
            <a:ext uri="{FF2B5EF4-FFF2-40B4-BE49-F238E27FC236}">
              <a16:creationId xmlns:a16="http://schemas.microsoft.com/office/drawing/2014/main" id="{2EF6CD30-BEA8-4961-A954-BD75BA590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"/>
          <a:ext cx="2333625" cy="1176867"/>
        </a:xfrm>
        <a:prstGeom prst="rect">
          <a:avLst/>
        </a:prstGeom>
      </xdr:spPr>
    </xdr:pic>
    <xdr:clientData/>
  </xdr:oneCellAnchor>
  <xdr:oneCellAnchor>
    <xdr:from>
      <xdr:col>0</xdr:col>
      <xdr:colOff>257175</xdr:colOff>
      <xdr:row>0</xdr:row>
      <xdr:rowOff>28575</xdr:rowOff>
    </xdr:from>
    <xdr:ext cx="2333625" cy="1176867"/>
    <xdr:pic>
      <xdr:nvPicPr>
        <xdr:cNvPr id="3" name="Picture 2">
          <a:extLst>
            <a:ext uri="{FF2B5EF4-FFF2-40B4-BE49-F238E27FC236}">
              <a16:creationId xmlns:a16="http://schemas.microsoft.com/office/drawing/2014/main" id="{4BBEC146-74D6-4658-AE97-D80FC2F32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"/>
          <a:ext cx="2333625" cy="11768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0</xdr:row>
      <xdr:rowOff>28575</xdr:rowOff>
    </xdr:from>
    <xdr:ext cx="2333625" cy="1176867"/>
    <xdr:pic>
      <xdr:nvPicPr>
        <xdr:cNvPr id="2" name="Picture 1">
          <a:extLst>
            <a:ext uri="{FF2B5EF4-FFF2-40B4-BE49-F238E27FC236}">
              <a16:creationId xmlns:a16="http://schemas.microsoft.com/office/drawing/2014/main" id="{DEFE7C85-FF91-4116-B47B-DC21D4E4C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"/>
          <a:ext cx="2333625" cy="1176867"/>
        </a:xfrm>
        <a:prstGeom prst="rect">
          <a:avLst/>
        </a:prstGeom>
      </xdr:spPr>
    </xdr:pic>
    <xdr:clientData/>
  </xdr:oneCellAnchor>
  <xdr:oneCellAnchor>
    <xdr:from>
      <xdr:col>0</xdr:col>
      <xdr:colOff>257175</xdr:colOff>
      <xdr:row>0</xdr:row>
      <xdr:rowOff>28575</xdr:rowOff>
    </xdr:from>
    <xdr:ext cx="2333625" cy="1176867"/>
    <xdr:pic>
      <xdr:nvPicPr>
        <xdr:cNvPr id="3" name="Picture 2">
          <a:extLst>
            <a:ext uri="{FF2B5EF4-FFF2-40B4-BE49-F238E27FC236}">
              <a16:creationId xmlns:a16="http://schemas.microsoft.com/office/drawing/2014/main" id="{3CFECF62-B7A0-4E5C-9F7A-7FB6A74A5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"/>
          <a:ext cx="2333625" cy="117686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0</xdr:row>
      <xdr:rowOff>28575</xdr:rowOff>
    </xdr:from>
    <xdr:ext cx="2333625" cy="1176867"/>
    <xdr:pic>
      <xdr:nvPicPr>
        <xdr:cNvPr id="2" name="Picture 1">
          <a:extLst>
            <a:ext uri="{FF2B5EF4-FFF2-40B4-BE49-F238E27FC236}">
              <a16:creationId xmlns:a16="http://schemas.microsoft.com/office/drawing/2014/main" id="{66E50F78-72EC-4239-A135-A52925500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"/>
          <a:ext cx="2333625" cy="1176867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0</xdr:row>
      <xdr:rowOff>28575</xdr:rowOff>
    </xdr:from>
    <xdr:ext cx="2324100" cy="1171575"/>
    <xdr:pic>
      <xdr:nvPicPr>
        <xdr:cNvPr id="2" name="Picture 1">
          <a:extLst>
            <a:ext uri="{FF2B5EF4-FFF2-40B4-BE49-F238E27FC236}">
              <a16:creationId xmlns:a16="http://schemas.microsoft.com/office/drawing/2014/main" id="{2D255675-AA1B-4360-99CA-24E8E8991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"/>
          <a:ext cx="2324100" cy="11715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iverscasinoandresort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iverscasinoandresort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riverscasinoandresort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riverscasinoandresort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riverscasinoandresort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riverscasinoandresort.com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riverscasinoandresort.com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riverscasinoandres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716F1-4F3C-4CED-8022-392B9EA169FB}">
  <sheetPr>
    <pageSetUpPr fitToPage="1"/>
  </sheetPr>
  <dimension ref="A1:X65"/>
  <sheetViews>
    <sheetView tabSelected="1" topLeftCell="A19" zoomScaleNormal="100" workbookViewId="0">
      <selection activeCell="F48" sqref="F48"/>
    </sheetView>
  </sheetViews>
  <sheetFormatPr defaultRowHeight="15" x14ac:dyDescent="0.25"/>
  <cols>
    <col min="1" max="1" width="9.28515625" style="86" customWidth="1"/>
    <col min="2" max="2" width="1.7109375" style="86" customWidth="1"/>
    <col min="3" max="3" width="15.5703125" style="85" bestFit="1" customWidth="1"/>
    <col min="4" max="4" width="14.28515625" style="85" bestFit="1" customWidth="1"/>
    <col min="5" max="5" width="15.5703125" style="85" bestFit="1" customWidth="1"/>
    <col min="6" max="6" width="16.28515625" style="85" bestFit="1" customWidth="1"/>
    <col min="7" max="7" width="1.85546875" style="85" customWidth="1"/>
    <col min="8" max="8" width="15" style="85" customWidth="1"/>
    <col min="9" max="9" width="11.7109375" style="67" customWidth="1"/>
    <col min="10" max="10" width="12.140625" style="85" bestFit="1" customWidth="1"/>
    <col min="11" max="11" width="1.140625" style="85" customWidth="1"/>
    <col min="12" max="12" width="11.7109375" style="85" customWidth="1"/>
    <col min="13" max="13" width="17.7109375" style="85" customWidth="1"/>
    <col min="14" max="14" width="11.5703125" style="85" customWidth="1"/>
    <col min="15" max="15" width="12.42578125" style="85" customWidth="1"/>
    <col min="16" max="16" width="3.42578125" style="85" customWidth="1"/>
    <col min="17" max="17" width="15" style="85" customWidth="1"/>
    <col min="18" max="18" width="12.140625" style="85" customWidth="1"/>
    <col min="19" max="19" width="3.42578125" style="85" customWidth="1"/>
    <col min="20" max="20" width="13.5703125" style="85" customWidth="1"/>
    <col min="21" max="21" width="13.42578125" style="1" customWidth="1"/>
    <col min="22" max="22" width="3.42578125" style="1" customWidth="1"/>
    <col min="23" max="23" width="14.42578125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3" ht="18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</row>
    <row r="2" spans="1:23" ht="15.75" x14ac:dyDescent="0.25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</row>
    <row r="3" spans="1:23" s="2" customFormat="1" ht="15.75" x14ac:dyDescent="0.25">
      <c r="A3" s="128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</row>
    <row r="4" spans="1:23" s="2" customFormat="1" ht="14.25" customHeight="1" x14ac:dyDescent="0.25">
      <c r="A4" s="129" t="s">
        <v>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</row>
    <row r="5" spans="1:23" s="2" customFormat="1" x14ac:dyDescent="0.25">
      <c r="A5" s="131" t="s">
        <v>4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</row>
    <row r="6" spans="1:23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</row>
    <row r="7" spans="1:23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</row>
    <row r="8" spans="1:23" s="9" customFormat="1" ht="14.25" customHeight="1" x14ac:dyDescent="0.25">
      <c r="A8" s="121" t="s">
        <v>85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3"/>
    </row>
    <row r="9" spans="1:23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4"/>
      <c r="V9" s="4"/>
      <c r="W9" s="4"/>
    </row>
    <row r="10" spans="1:23" s="15" customFormat="1" ht="12.75" x14ac:dyDescent="0.2">
      <c r="A10" s="10"/>
      <c r="B10" s="10"/>
      <c r="C10" s="118" t="s">
        <v>6</v>
      </c>
      <c r="D10" s="119"/>
      <c r="E10" s="119"/>
      <c r="F10" s="119"/>
      <c r="G10" s="119"/>
      <c r="H10" s="119"/>
      <c r="I10" s="119"/>
      <c r="J10" s="11"/>
      <c r="K10" s="12"/>
      <c r="L10" s="118" t="s">
        <v>7</v>
      </c>
      <c r="M10" s="119"/>
      <c r="N10" s="119"/>
      <c r="O10" s="120"/>
      <c r="P10" s="13"/>
      <c r="Q10" s="118" t="s">
        <v>8</v>
      </c>
      <c r="R10" s="120"/>
      <c r="S10" s="102"/>
      <c r="T10" s="118" t="s">
        <v>72</v>
      </c>
      <c r="U10" s="120"/>
      <c r="V10" s="102"/>
      <c r="W10" s="14"/>
    </row>
    <row r="11" spans="1:23" s="21" customFormat="1" ht="12" x14ac:dyDescent="0.2">
      <c r="A11" s="16"/>
      <c r="B11" s="16"/>
      <c r="C11" s="17"/>
      <c r="D11" s="18" t="s">
        <v>9</v>
      </c>
      <c r="E11" s="17"/>
      <c r="F11" s="17"/>
      <c r="G11" s="17"/>
      <c r="H11" s="19" t="s">
        <v>10</v>
      </c>
      <c r="I11" s="17"/>
      <c r="J11" s="17"/>
      <c r="K11" s="17"/>
      <c r="L11" s="18" t="s">
        <v>11</v>
      </c>
      <c r="M11" s="18"/>
      <c r="N11" s="18" t="s">
        <v>9</v>
      </c>
      <c r="O11" s="18" t="s">
        <v>11</v>
      </c>
      <c r="P11" s="20"/>
      <c r="Q11" s="18" t="s">
        <v>11</v>
      </c>
      <c r="R11" s="18" t="s">
        <v>11</v>
      </c>
      <c r="S11" s="18"/>
      <c r="T11" s="18" t="s">
        <v>80</v>
      </c>
      <c r="U11" s="24" t="s">
        <v>82</v>
      </c>
      <c r="V11" s="20"/>
      <c r="W11" s="18" t="s">
        <v>11</v>
      </c>
    </row>
    <row r="12" spans="1:23" s="25" customFormat="1" ht="12" x14ac:dyDescent="0.2">
      <c r="A12" s="22"/>
      <c r="B12" s="22"/>
      <c r="C12" s="18" t="s">
        <v>12</v>
      </c>
      <c r="D12" s="23" t="s">
        <v>13</v>
      </c>
      <c r="E12" s="18" t="s">
        <v>12</v>
      </c>
      <c r="F12" s="18" t="s">
        <v>14</v>
      </c>
      <c r="G12" s="18"/>
      <c r="H12" s="19" t="s">
        <v>15</v>
      </c>
      <c r="I12" s="18" t="s">
        <v>16</v>
      </c>
      <c r="J12" s="18"/>
      <c r="K12" s="18"/>
      <c r="L12" s="24" t="s">
        <v>10</v>
      </c>
      <c r="M12" s="18" t="s">
        <v>17</v>
      </c>
      <c r="N12" s="18" t="s">
        <v>17</v>
      </c>
      <c r="O12" s="18" t="s">
        <v>17</v>
      </c>
      <c r="P12" s="24"/>
      <c r="Q12" s="24" t="s">
        <v>10</v>
      </c>
      <c r="R12" s="18" t="s">
        <v>18</v>
      </c>
      <c r="S12" s="18"/>
      <c r="T12" s="18" t="s">
        <v>81</v>
      </c>
      <c r="U12" s="18" t="s">
        <v>81</v>
      </c>
      <c r="V12" s="18"/>
      <c r="W12" s="18" t="s">
        <v>11</v>
      </c>
    </row>
    <row r="13" spans="1:23" s="25" customFormat="1" ht="12" x14ac:dyDescent="0.2">
      <c r="A13" s="26" t="s">
        <v>19</v>
      </c>
      <c r="B13" s="26"/>
      <c r="C13" s="27" t="s">
        <v>20</v>
      </c>
      <c r="D13" s="27" t="s">
        <v>12</v>
      </c>
      <c r="E13" s="27" t="s">
        <v>21</v>
      </c>
      <c r="F13" s="27" t="s">
        <v>22</v>
      </c>
      <c r="G13" s="27"/>
      <c r="H13" s="28" t="s">
        <v>23</v>
      </c>
      <c r="I13" s="27" t="s">
        <v>24</v>
      </c>
      <c r="J13" s="23"/>
      <c r="K13" s="23"/>
      <c r="L13" s="27" t="s">
        <v>25</v>
      </c>
      <c r="M13" s="27" t="s">
        <v>26</v>
      </c>
      <c r="N13" s="27" t="s">
        <v>12</v>
      </c>
      <c r="O13" s="27" t="s">
        <v>22</v>
      </c>
      <c r="P13" s="29"/>
      <c r="Q13" s="27" t="s">
        <v>8</v>
      </c>
      <c r="R13" s="27" t="s">
        <v>22</v>
      </c>
      <c r="S13" s="23"/>
      <c r="T13" s="27" t="s">
        <v>79</v>
      </c>
      <c r="U13" s="27" t="s">
        <v>22</v>
      </c>
      <c r="V13" s="23"/>
      <c r="W13" s="27" t="s">
        <v>27</v>
      </c>
    </row>
    <row r="14" spans="1:23" x14ac:dyDescent="0.25">
      <c r="A14" s="5">
        <v>45017</v>
      </c>
      <c r="B14" s="5"/>
      <c r="C14" s="30">
        <v>150552146.62000003</v>
      </c>
      <c r="D14" s="30">
        <v>941928.7</v>
      </c>
      <c r="E14" s="30">
        <v>136749830.88999999</v>
      </c>
      <c r="F14" s="30">
        <v>12860387.029999997</v>
      </c>
      <c r="G14" s="30"/>
      <c r="H14" s="31">
        <v>1050</v>
      </c>
      <c r="I14" s="30">
        <v>408.26625492063482</v>
      </c>
      <c r="J14" s="30"/>
      <c r="K14" s="32"/>
      <c r="L14" s="33">
        <v>67</v>
      </c>
      <c r="M14" s="34">
        <v>16844131</v>
      </c>
      <c r="N14" s="34">
        <v>188180</v>
      </c>
      <c r="O14" s="34">
        <v>3503603.78</v>
      </c>
      <c r="P14" s="32"/>
      <c r="Q14" s="35">
        <v>16</v>
      </c>
      <c r="R14" s="32">
        <v>426886</v>
      </c>
      <c r="S14" s="32"/>
      <c r="T14" s="32">
        <v>2310036.23</v>
      </c>
      <c r="U14" s="30">
        <v>201243.71</v>
      </c>
      <c r="V14" s="30"/>
      <c r="W14" s="30">
        <f t="shared" ref="W14:W25" si="0">F14+O14+R14+U14</f>
        <v>16992120.519999996</v>
      </c>
    </row>
    <row r="15" spans="1:23" x14ac:dyDescent="0.25">
      <c r="A15" s="5">
        <v>45047</v>
      </c>
      <c r="B15" s="5"/>
      <c r="C15" s="30">
        <v>146618989.81</v>
      </c>
      <c r="D15" s="30">
        <v>1029787.12</v>
      </c>
      <c r="E15" s="30">
        <v>133033841.53</v>
      </c>
      <c r="F15" s="30">
        <v>12555361.159999998</v>
      </c>
      <c r="G15" s="30"/>
      <c r="H15" s="31">
        <v>1050</v>
      </c>
      <c r="I15" s="30">
        <v>385.72538125960057</v>
      </c>
      <c r="J15" s="30"/>
      <c r="K15" s="37"/>
      <c r="L15" s="37">
        <v>65</v>
      </c>
      <c r="M15" s="30">
        <v>16160595</v>
      </c>
      <c r="N15" s="30">
        <v>177415</v>
      </c>
      <c r="O15" s="30">
        <v>4145395.51</v>
      </c>
      <c r="P15" s="37"/>
      <c r="Q15" s="35">
        <v>16</v>
      </c>
      <c r="R15" s="32">
        <v>296339</v>
      </c>
      <c r="S15" s="32"/>
      <c r="T15" s="32">
        <v>2391829.2199999997</v>
      </c>
      <c r="U15" s="30">
        <v>244234.21999999997</v>
      </c>
      <c r="V15" s="30"/>
      <c r="W15" s="30">
        <f t="shared" si="0"/>
        <v>17241329.889999997</v>
      </c>
    </row>
    <row r="16" spans="1:23" x14ac:dyDescent="0.25">
      <c r="A16" s="5">
        <v>45078</v>
      </c>
      <c r="B16" s="5"/>
      <c r="C16" s="30">
        <v>150548086.21999997</v>
      </c>
      <c r="D16" s="30">
        <v>952869.31</v>
      </c>
      <c r="E16" s="30">
        <v>136780173.25999999</v>
      </c>
      <c r="F16" s="30">
        <v>12815043.649999999</v>
      </c>
      <c r="G16" s="30"/>
      <c r="H16" s="31">
        <v>1050</v>
      </c>
      <c r="I16" s="30">
        <v>406.82678253968248</v>
      </c>
      <c r="J16" s="30"/>
      <c r="K16" s="37"/>
      <c r="L16" s="37">
        <v>62</v>
      </c>
      <c r="M16" s="30">
        <v>17274275</v>
      </c>
      <c r="N16" s="30">
        <v>152665</v>
      </c>
      <c r="O16" s="30">
        <v>3270964.51</v>
      </c>
      <c r="P16" s="37"/>
      <c r="Q16" s="35">
        <v>16</v>
      </c>
      <c r="R16" s="32">
        <v>305570</v>
      </c>
      <c r="S16" s="32"/>
      <c r="T16" s="32">
        <v>2305221.5999999996</v>
      </c>
      <c r="U16" s="30">
        <v>75341.580000000045</v>
      </c>
      <c r="V16" s="30"/>
      <c r="W16" s="30">
        <f t="shared" si="0"/>
        <v>16466919.739999998</v>
      </c>
    </row>
    <row r="17" spans="1:23" x14ac:dyDescent="0.25">
      <c r="A17" s="5">
        <v>45108</v>
      </c>
      <c r="B17" s="5"/>
      <c r="C17" s="30">
        <v>161291687.26999998</v>
      </c>
      <c r="D17" s="30">
        <v>904104.27</v>
      </c>
      <c r="E17" s="30">
        <v>146750406.61000001</v>
      </c>
      <c r="F17" s="30">
        <v>13637176.390000001</v>
      </c>
      <c r="G17" s="38"/>
      <c r="H17" s="31">
        <v>1050</v>
      </c>
      <c r="I17" s="30">
        <v>418.96087219662058</v>
      </c>
      <c r="J17" s="30"/>
      <c r="K17" s="38"/>
      <c r="L17" s="37">
        <v>62</v>
      </c>
      <c r="M17" s="30">
        <v>19163685</v>
      </c>
      <c r="N17" s="30">
        <v>129325</v>
      </c>
      <c r="O17" s="30">
        <v>2931857.28</v>
      </c>
      <c r="P17" s="38"/>
      <c r="Q17" s="35">
        <v>16</v>
      </c>
      <c r="R17" s="32">
        <v>346080</v>
      </c>
      <c r="S17" s="32"/>
      <c r="T17" s="32">
        <v>2528532.0300000003</v>
      </c>
      <c r="U17" s="30">
        <v>338052.93</v>
      </c>
      <c r="V17" s="30"/>
      <c r="W17" s="30">
        <f t="shared" si="0"/>
        <v>17253166.600000001</v>
      </c>
    </row>
    <row r="18" spans="1:23" x14ac:dyDescent="0.25">
      <c r="A18" s="5">
        <v>45139</v>
      </c>
      <c r="B18" s="5"/>
      <c r="C18" s="30">
        <v>161386859.53000003</v>
      </c>
      <c r="D18" s="30">
        <v>914481.75</v>
      </c>
      <c r="E18" s="30">
        <v>146789591.72999999</v>
      </c>
      <c r="F18" s="30">
        <v>13682786.049999997</v>
      </c>
      <c r="G18" s="38"/>
      <c r="H18" s="31">
        <v>1050</v>
      </c>
      <c r="I18" s="30">
        <v>420.36209062980021</v>
      </c>
      <c r="J18" s="30"/>
      <c r="K18" s="38"/>
      <c r="L18" s="37">
        <v>62</v>
      </c>
      <c r="M18" s="30">
        <v>18657285</v>
      </c>
      <c r="N18" s="30">
        <v>145720</v>
      </c>
      <c r="O18" s="30">
        <v>3415880.19</v>
      </c>
      <c r="P18" s="38"/>
      <c r="Q18" s="35">
        <v>16</v>
      </c>
      <c r="R18" s="32">
        <v>323309</v>
      </c>
      <c r="S18" s="32"/>
      <c r="T18" s="32">
        <v>2891310.8299999996</v>
      </c>
      <c r="U18" s="30">
        <v>221148.6200000002</v>
      </c>
      <c r="V18" s="30"/>
      <c r="W18" s="30">
        <f t="shared" si="0"/>
        <v>17643123.859999999</v>
      </c>
    </row>
    <row r="19" spans="1:23" x14ac:dyDescent="0.25">
      <c r="A19" s="5">
        <v>45170</v>
      </c>
      <c r="B19" s="5"/>
      <c r="C19" s="30">
        <v>150054657.63999999</v>
      </c>
      <c r="D19" s="30">
        <v>900349.52</v>
      </c>
      <c r="E19" s="30">
        <v>136540670.09</v>
      </c>
      <c r="F19" s="30">
        <v>12613638.029999996</v>
      </c>
      <c r="G19" s="38"/>
      <c r="H19" s="31">
        <v>1050</v>
      </c>
      <c r="I19" s="30">
        <v>400.43295333333322</v>
      </c>
      <c r="J19" s="30"/>
      <c r="K19" s="38"/>
      <c r="L19" s="37">
        <v>62</v>
      </c>
      <c r="M19" s="30">
        <v>16590381</v>
      </c>
      <c r="N19" s="30">
        <v>123455</v>
      </c>
      <c r="O19" s="30">
        <v>3404924.0399999991</v>
      </c>
      <c r="P19" s="38"/>
      <c r="Q19" s="35">
        <v>16</v>
      </c>
      <c r="R19" s="32">
        <v>309677</v>
      </c>
      <c r="S19" s="32"/>
      <c r="T19" s="32">
        <v>3653223.3400000008</v>
      </c>
      <c r="U19" s="30">
        <v>541294.42000000004</v>
      </c>
      <c r="V19" s="30"/>
      <c r="W19" s="30">
        <f t="shared" si="0"/>
        <v>16869533.489999995</v>
      </c>
    </row>
    <row r="20" spans="1:23" x14ac:dyDescent="0.25">
      <c r="A20" s="5">
        <v>45200</v>
      </c>
      <c r="B20" s="5"/>
      <c r="C20" s="30">
        <v>148238839.27999997</v>
      </c>
      <c r="D20" s="30">
        <v>902488.93</v>
      </c>
      <c r="E20" s="30">
        <v>134544018.34999999</v>
      </c>
      <c r="F20" s="30">
        <v>12792331.999999996</v>
      </c>
      <c r="G20" s="38"/>
      <c r="H20" s="31">
        <v>1050</v>
      </c>
      <c r="I20" s="30">
        <v>393.00559139784934</v>
      </c>
      <c r="J20" s="30"/>
      <c r="K20" s="38"/>
      <c r="L20" s="37">
        <v>62</v>
      </c>
      <c r="M20" s="30">
        <v>17165032</v>
      </c>
      <c r="N20" s="30">
        <v>197290</v>
      </c>
      <c r="O20" s="30">
        <v>4077355.4800000004</v>
      </c>
      <c r="P20" s="38"/>
      <c r="Q20" s="35">
        <v>16</v>
      </c>
      <c r="R20" s="32">
        <v>303736</v>
      </c>
      <c r="S20" s="32"/>
      <c r="T20" s="32">
        <v>4480865.0299999993</v>
      </c>
      <c r="U20" s="30">
        <v>340972.81999999995</v>
      </c>
      <c r="V20" s="30"/>
      <c r="W20" s="30">
        <f t="shared" si="0"/>
        <v>17514396.299999997</v>
      </c>
    </row>
    <row r="21" spans="1:23" x14ac:dyDescent="0.25">
      <c r="A21" s="5">
        <v>45231</v>
      </c>
      <c r="B21" s="5"/>
      <c r="C21" s="30">
        <v>142608435.75999999</v>
      </c>
      <c r="D21" s="30">
        <v>877557.6</v>
      </c>
      <c r="E21" s="30">
        <v>130088648.04000001</v>
      </c>
      <c r="F21" s="30">
        <v>11642230.119999999</v>
      </c>
      <c r="G21" s="38"/>
      <c r="H21" s="31">
        <v>1050</v>
      </c>
      <c r="I21" s="30">
        <v>369.59460698412698</v>
      </c>
      <c r="J21" s="30"/>
      <c r="K21" s="38"/>
      <c r="L21" s="37">
        <v>62</v>
      </c>
      <c r="M21" s="30">
        <v>16882008</v>
      </c>
      <c r="N21" s="30">
        <v>162735</v>
      </c>
      <c r="O21" s="30">
        <v>4687164.1099999994</v>
      </c>
      <c r="P21" s="38"/>
      <c r="Q21" s="35">
        <v>16</v>
      </c>
      <c r="R21" s="32">
        <v>313529</v>
      </c>
      <c r="S21" s="32"/>
      <c r="T21" s="32">
        <v>5955507.1499999985</v>
      </c>
      <c r="U21" s="30">
        <v>194635.36000000004</v>
      </c>
      <c r="V21" s="30"/>
      <c r="W21" s="30">
        <f t="shared" si="0"/>
        <v>16837558.59</v>
      </c>
    </row>
    <row r="22" spans="1:23" x14ac:dyDescent="0.25">
      <c r="A22" s="5">
        <v>45261</v>
      </c>
      <c r="B22" s="5"/>
      <c r="C22" s="30">
        <v>154945929.59999999</v>
      </c>
      <c r="D22" s="30">
        <v>1014077.61</v>
      </c>
      <c r="E22" s="30">
        <v>141204814.47</v>
      </c>
      <c r="F22" s="30">
        <v>12727037.52</v>
      </c>
      <c r="G22" s="38"/>
      <c r="H22" s="31">
        <v>1050</v>
      </c>
      <c r="I22" s="30">
        <v>390.99961658986172</v>
      </c>
      <c r="J22" s="30"/>
      <c r="K22" s="38"/>
      <c r="L22" s="37">
        <v>62</v>
      </c>
      <c r="M22" s="30">
        <v>17029945</v>
      </c>
      <c r="N22" s="30">
        <v>203560</v>
      </c>
      <c r="O22" s="30">
        <v>3825158.1500000004</v>
      </c>
      <c r="P22" s="38"/>
      <c r="Q22" s="35">
        <v>16</v>
      </c>
      <c r="R22" s="32">
        <v>354203</v>
      </c>
      <c r="S22" s="32"/>
      <c r="T22" s="32">
        <v>5082145.419999999</v>
      </c>
      <c r="U22" s="30">
        <v>628296.53</v>
      </c>
      <c r="V22" s="30"/>
      <c r="W22" s="30">
        <f t="shared" si="0"/>
        <v>17534695.200000003</v>
      </c>
    </row>
    <row r="23" spans="1:23" x14ac:dyDescent="0.25">
      <c r="A23" s="5">
        <v>45292</v>
      </c>
      <c r="B23" s="5"/>
      <c r="C23" s="30">
        <v>145291797.63000003</v>
      </c>
      <c r="D23" s="30">
        <v>932755.39</v>
      </c>
      <c r="E23" s="30">
        <v>132328736.5</v>
      </c>
      <c r="F23" s="30">
        <v>12030305.740000002</v>
      </c>
      <c r="G23" s="38"/>
      <c r="H23" s="31">
        <v>1050</v>
      </c>
      <c r="I23" s="30">
        <v>369.59464639016903</v>
      </c>
      <c r="J23" s="30"/>
      <c r="K23" s="38"/>
      <c r="L23" s="37">
        <v>62</v>
      </c>
      <c r="M23" s="30">
        <v>16154589</v>
      </c>
      <c r="N23" s="30">
        <v>197525</v>
      </c>
      <c r="O23" s="30">
        <v>3061404.9999999995</v>
      </c>
      <c r="P23" s="38"/>
      <c r="Q23" s="35">
        <v>16</v>
      </c>
      <c r="R23" s="32">
        <v>327960</v>
      </c>
      <c r="S23" s="32"/>
      <c r="T23" s="32">
        <v>5316659.4700000007</v>
      </c>
      <c r="U23" s="30">
        <v>237360.70000000004</v>
      </c>
      <c r="V23" s="30"/>
      <c r="W23" s="30">
        <f t="shared" si="0"/>
        <v>15657031.440000001</v>
      </c>
    </row>
    <row r="24" spans="1:23" x14ac:dyDescent="0.25">
      <c r="A24" s="5">
        <v>45323</v>
      </c>
      <c r="B24" s="5"/>
      <c r="C24" s="30">
        <v>155487510.10000002</v>
      </c>
      <c r="D24" s="30">
        <v>987894.2</v>
      </c>
      <c r="E24" s="30">
        <v>140812530.91999999</v>
      </c>
      <c r="F24" s="30">
        <v>13687084.979999995</v>
      </c>
      <c r="G24" s="38"/>
      <c r="H24" s="31">
        <v>1050</v>
      </c>
      <c r="I24" s="30">
        <v>449.49375960591118</v>
      </c>
      <c r="J24" s="30"/>
      <c r="K24" s="38"/>
      <c r="L24" s="37">
        <v>62</v>
      </c>
      <c r="M24" s="30">
        <v>16965252</v>
      </c>
      <c r="N24" s="30">
        <v>194525</v>
      </c>
      <c r="O24" s="30">
        <v>2403022.46</v>
      </c>
      <c r="P24" s="38"/>
      <c r="Q24" s="35">
        <v>16</v>
      </c>
      <c r="R24" s="32">
        <v>333691</v>
      </c>
      <c r="S24" s="32"/>
      <c r="T24" s="32">
        <v>2880041.36</v>
      </c>
      <c r="U24" s="30">
        <v>-7843.7499999999563</v>
      </c>
      <c r="V24" s="30"/>
      <c r="W24" s="30">
        <f t="shared" si="0"/>
        <v>16415954.689999994</v>
      </c>
    </row>
    <row r="25" spans="1:23" x14ac:dyDescent="0.25">
      <c r="A25" s="5">
        <v>45352</v>
      </c>
      <c r="B25" s="5"/>
      <c r="C25" s="30">
        <v>164827806.76000002</v>
      </c>
      <c r="D25" s="30">
        <v>1019095.1</v>
      </c>
      <c r="E25" s="30">
        <v>149759922.31999999</v>
      </c>
      <c r="F25" s="30">
        <v>14048789.339999996</v>
      </c>
      <c r="G25" s="38"/>
      <c r="H25" s="31">
        <v>1050</v>
      </c>
      <c r="I25" s="30">
        <v>431.60643133640542</v>
      </c>
      <c r="J25" s="30"/>
      <c r="K25" s="38"/>
      <c r="L25" s="37">
        <v>62</v>
      </c>
      <c r="M25" s="30">
        <v>18958728</v>
      </c>
      <c r="N25" s="30">
        <v>184385</v>
      </c>
      <c r="O25" s="30">
        <v>3716699.5200000005</v>
      </c>
      <c r="P25" s="38"/>
      <c r="Q25" s="35">
        <v>16</v>
      </c>
      <c r="R25" s="32">
        <v>337877</v>
      </c>
      <c r="S25" s="32"/>
      <c r="T25" s="32">
        <v>2777697.91</v>
      </c>
      <c r="U25" s="30">
        <v>370716.56000000006</v>
      </c>
      <c r="V25" s="30"/>
      <c r="W25" s="30">
        <f t="shared" si="0"/>
        <v>18474082.419999994</v>
      </c>
    </row>
    <row r="26" spans="1:23" ht="15.75" thickBot="1" x14ac:dyDescent="0.3">
      <c r="A26" s="5" t="s">
        <v>28</v>
      </c>
      <c r="B26" s="5"/>
      <c r="C26" s="39">
        <f>SUM(C14:C25)</f>
        <v>1831852746.22</v>
      </c>
      <c r="D26" s="39">
        <f>SUM(D14:D25)</f>
        <v>11377389.499999998</v>
      </c>
      <c r="E26" s="39">
        <f>SUM(E14:E25)</f>
        <v>1665383184.71</v>
      </c>
      <c r="F26" s="39">
        <f>SUM(F14:F25)</f>
        <v>155092172.00999999</v>
      </c>
      <c r="G26" s="39"/>
      <c r="H26" s="40">
        <v>1050</v>
      </c>
      <c r="I26" s="39">
        <f>F26/H26/366</f>
        <v>403.57057509757999</v>
      </c>
      <c r="J26" s="42"/>
      <c r="K26" s="30"/>
      <c r="L26" s="43">
        <f>+AVERAGE(L14:L25)</f>
        <v>62.666666666666664</v>
      </c>
      <c r="M26" s="39">
        <f>SUM(M14:M25)</f>
        <v>207845906</v>
      </c>
      <c r="N26" s="39">
        <f>SUM(N14:N25)</f>
        <v>2056780</v>
      </c>
      <c r="O26" s="39">
        <f>SUM(O14:O25)</f>
        <v>42443430.030000001</v>
      </c>
      <c r="P26" s="44"/>
      <c r="Q26" s="45">
        <v>16</v>
      </c>
      <c r="R26" s="39">
        <f>SUM(R14:R25)</f>
        <v>3978857</v>
      </c>
      <c r="S26" s="44"/>
      <c r="T26" s="39">
        <f>SUM(T14:T25)</f>
        <v>42573069.590000004</v>
      </c>
      <c r="U26" s="39">
        <f>SUM(U14:U25)</f>
        <v>3385453.6999999997</v>
      </c>
      <c r="V26" s="44"/>
      <c r="W26" s="39">
        <f>SUM(W14:W25)</f>
        <v>204899912.73999998</v>
      </c>
    </row>
    <row r="27" spans="1:23" ht="10.5" customHeight="1" thickTop="1" x14ac:dyDescent="0.25">
      <c r="A27" s="5"/>
      <c r="B27" s="5"/>
      <c r="C27" s="46"/>
      <c r="D27" s="46"/>
      <c r="E27" s="46"/>
      <c r="F27" s="46"/>
      <c r="G27" s="46"/>
      <c r="H27" s="46"/>
      <c r="I27" s="35"/>
      <c r="J27" s="32"/>
      <c r="K27" s="32"/>
      <c r="L27" s="47"/>
      <c r="M27" s="46"/>
      <c r="N27" s="46"/>
      <c r="O27" s="46"/>
      <c r="P27" s="46"/>
      <c r="Q27" s="47"/>
      <c r="R27" s="46"/>
      <c r="S27" s="46"/>
      <c r="T27" s="46"/>
      <c r="U27" s="36"/>
      <c r="V27" s="36"/>
      <c r="W27" s="36"/>
    </row>
    <row r="28" spans="1:23" s="52" customFormat="1" x14ac:dyDescent="0.25">
      <c r="A28" s="48"/>
      <c r="B28" s="48"/>
      <c r="C28" s="49"/>
      <c r="D28" s="50">
        <f>D26/$C$26</f>
        <v>6.2108646688316333E-3</v>
      </c>
      <c r="E28" s="50">
        <f>E26/$C$26</f>
        <v>0.90912503100835618</v>
      </c>
      <c r="F28" s="50">
        <f>F26/C26</f>
        <v>8.4664104322812142E-2</v>
      </c>
      <c r="G28" s="50"/>
      <c r="H28" s="49"/>
      <c r="I28" s="51"/>
      <c r="J28" s="51"/>
      <c r="K28" s="51"/>
      <c r="L28" s="49"/>
      <c r="M28" s="49"/>
      <c r="N28" s="49"/>
      <c r="O28" s="49">
        <f>O26/$M$26</f>
        <v>0.20420623550795367</v>
      </c>
      <c r="P28" s="49"/>
      <c r="Q28" s="49"/>
      <c r="R28" s="49"/>
      <c r="S28" s="49"/>
      <c r="T28" s="49"/>
      <c r="U28" s="51"/>
      <c r="V28" s="51"/>
      <c r="W28" s="51"/>
    </row>
    <row r="29" spans="1:23" s="52" customFormat="1" x14ac:dyDescent="0.25">
      <c r="A29" s="48"/>
      <c r="B29" s="48"/>
      <c r="C29" s="49"/>
      <c r="D29" s="49"/>
      <c r="E29" s="49"/>
      <c r="F29" s="49"/>
      <c r="G29" s="49"/>
      <c r="H29" s="49"/>
      <c r="I29" s="51"/>
      <c r="J29" s="51"/>
      <c r="K29" s="51"/>
      <c r="L29" s="49"/>
      <c r="M29" s="49"/>
      <c r="N29" s="49"/>
      <c r="O29" s="49"/>
      <c r="P29" s="49"/>
      <c r="Q29" s="49"/>
      <c r="R29" s="49"/>
      <c r="S29" s="49"/>
      <c r="T29" s="49"/>
      <c r="U29" s="51"/>
      <c r="V29" s="51"/>
      <c r="W29" s="51"/>
    </row>
    <row r="30" spans="1:23" s="52" customFormat="1" x14ac:dyDescent="0.25">
      <c r="A30" s="121" t="s">
        <v>29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3"/>
    </row>
    <row r="31" spans="1:23" s="52" customFormat="1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4"/>
      <c r="V31" s="54"/>
      <c r="W31" s="54"/>
    </row>
    <row r="32" spans="1:23" s="52" customFormat="1" x14ac:dyDescent="0.25">
      <c r="A32" s="53"/>
      <c r="B32" s="53"/>
      <c r="C32" s="53"/>
      <c r="D32" s="53"/>
      <c r="E32" s="53"/>
      <c r="F32" s="53"/>
      <c r="G32" s="53"/>
      <c r="H32" s="124" t="s">
        <v>30</v>
      </c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6"/>
      <c r="U32" s="104"/>
      <c r="V32" s="104"/>
      <c r="W32" s="104"/>
    </row>
    <row r="33" spans="1:24" s="60" customFormat="1" ht="12" x14ac:dyDescent="0.2">
      <c r="A33" s="55"/>
      <c r="B33" s="55"/>
      <c r="C33" s="55"/>
      <c r="D33" s="55"/>
      <c r="E33" s="55"/>
      <c r="F33" s="55" t="s">
        <v>31</v>
      </c>
      <c r="G33" s="55"/>
      <c r="H33" s="56" t="s">
        <v>32</v>
      </c>
      <c r="I33" s="56" t="s">
        <v>33</v>
      </c>
      <c r="J33" s="56" t="s">
        <v>34</v>
      </c>
      <c r="K33" s="57"/>
      <c r="L33" s="57"/>
      <c r="M33" s="115"/>
      <c r="N33" s="115"/>
      <c r="O33" s="115"/>
      <c r="P33" s="115"/>
      <c r="Q33" s="115"/>
      <c r="R33" s="59"/>
      <c r="S33" s="59"/>
      <c r="T33" s="59"/>
      <c r="U33" s="55"/>
      <c r="V33" s="55"/>
      <c r="W33" s="55"/>
    </row>
    <row r="34" spans="1:24" s="60" customFormat="1" ht="12.75" customHeight="1" x14ac:dyDescent="0.2">
      <c r="A34" s="55"/>
      <c r="B34" s="55"/>
      <c r="C34" s="18" t="s">
        <v>35</v>
      </c>
      <c r="D34" s="55" t="s">
        <v>11</v>
      </c>
      <c r="E34" s="55" t="s">
        <v>36</v>
      </c>
      <c r="F34" s="55" t="s">
        <v>37</v>
      </c>
      <c r="G34" s="55"/>
      <c r="H34" s="56" t="s">
        <v>38</v>
      </c>
      <c r="I34" s="56" t="s">
        <v>39</v>
      </c>
      <c r="J34" s="56" t="s">
        <v>40</v>
      </c>
      <c r="K34" s="57"/>
      <c r="L34" s="116" t="s">
        <v>41</v>
      </c>
      <c r="M34" s="116"/>
      <c r="N34" s="116"/>
      <c r="O34" s="116"/>
      <c r="P34" s="116"/>
      <c r="Q34" s="116"/>
      <c r="R34" s="116"/>
      <c r="S34" s="116"/>
      <c r="T34" s="116"/>
      <c r="U34" s="117"/>
      <c r="V34" s="117"/>
      <c r="W34" s="117"/>
    </row>
    <row r="35" spans="1:24" s="60" customFormat="1" ht="12" x14ac:dyDescent="0.2">
      <c r="A35" s="55"/>
      <c r="B35" s="55"/>
      <c r="C35" s="27" t="s">
        <v>42</v>
      </c>
      <c r="D35" s="61" t="s">
        <v>43</v>
      </c>
      <c r="E35" s="61" t="s">
        <v>44</v>
      </c>
      <c r="F35" s="61" t="s">
        <v>45</v>
      </c>
      <c r="G35" s="59"/>
      <c r="H35" s="62" t="s">
        <v>46</v>
      </c>
      <c r="I35" s="62" t="s">
        <v>40</v>
      </c>
      <c r="J35" s="62" t="s">
        <v>47</v>
      </c>
      <c r="K35" s="114"/>
      <c r="L35" s="114" t="s">
        <v>48</v>
      </c>
      <c r="M35" s="114" t="s">
        <v>49</v>
      </c>
      <c r="N35" s="114" t="s">
        <v>50</v>
      </c>
      <c r="O35" s="114" t="s">
        <v>51</v>
      </c>
      <c r="P35" s="114"/>
      <c r="Q35" s="114" t="s">
        <v>52</v>
      </c>
      <c r="R35" s="65" t="s">
        <v>53</v>
      </c>
      <c r="S35" s="65"/>
      <c r="T35" s="65" t="s">
        <v>54</v>
      </c>
      <c r="U35" s="59"/>
      <c r="V35" s="59"/>
      <c r="W35" s="59"/>
    </row>
    <row r="36" spans="1:24" s="52" customFormat="1" x14ac:dyDescent="0.25">
      <c r="A36" s="5">
        <v>45017</v>
      </c>
      <c r="B36" s="48"/>
      <c r="C36" s="42">
        <f t="shared" ref="C36:C47" si="1">(F14*0.7)+(O14+R14+U14)*0.9</f>
        <v>12720831.061999999</v>
      </c>
      <c r="D36" s="44">
        <f t="shared" ref="D36:D47" si="2">(F14*0.3)+(O14+R14+U14)*0.1</f>
        <v>4271289.4579999996</v>
      </c>
      <c r="E36" s="34">
        <v>17786.599999999999</v>
      </c>
      <c r="F36" s="34">
        <v>0</v>
      </c>
      <c r="G36" s="54"/>
      <c r="H36" s="42">
        <f t="shared" ref="H36:H47" si="3">F14*0.3*0.8+(O14+R14+U14)*0.1*0.8+((E36+F36)*0.8)</f>
        <v>3431260.8463999997</v>
      </c>
      <c r="I36" s="42">
        <f t="shared" ref="I36:I47" si="4">(F14*0.3*0.05+(O14+R14+U14)*0.1*0.05+((E36+F36)*0.05))</f>
        <v>214453.80289999998</v>
      </c>
      <c r="J36" s="42">
        <f t="shared" ref="J36:J47" si="5">F14*0.3*0.05+(O14+R14+U14)*0.1*0.05+((E36+F36)*0.05)</f>
        <v>214453.80289999998</v>
      </c>
      <c r="K36" s="34"/>
      <c r="L36" s="42">
        <f>(F14*0.3*0.1+(O14+R14+U14)*0.1*0.1)*314848/905359+((E36+F36)*0.1*314848/905359)</f>
        <v>149157.07677387469</v>
      </c>
      <c r="M36" s="42">
        <f>(F14*0.3*0.1+(O14+R14+U14)*0.1*0.1)*53324/905359+((E36+F36)*0.1*53324/905359)</f>
        <v>25261.878626797989</v>
      </c>
      <c r="N36" s="42">
        <f>(F14*0.3*0.1+(O14+R14+U14)*0.1*0.1)*49532/905359+((E36+F36)*0.1*49532/905359)</f>
        <v>23465.444680492048</v>
      </c>
      <c r="O36" s="42">
        <f>(F14*0.3*0.1+(O14+R14+U14)*0.1*0.1)*161130/905359+((E36+F36)*0.1*161130/905359)</f>
        <v>76334.230424123467</v>
      </c>
      <c r="P36" s="42"/>
      <c r="Q36" s="42">
        <f>(F14*0.3*0.1+(O14+R14+U14)*0.1*0.1)*235509/905359+((E36+F36)*0.1*235509/905359)</f>
        <v>111570.77063833484</v>
      </c>
      <c r="R36" s="42">
        <f>(F14*0.3*0.1+(O14+R14+U14)*0.1*0.1)*29714/905359+((E36+F36)*0.1*29714/905359)</f>
        <v>14076.803344022866</v>
      </c>
      <c r="S36" s="42"/>
      <c r="T36" s="42">
        <f>(F14*0.3*0.1+(O14+R14+U14)*0.1*0.1)*61302/905359+((E36+F36)*0.1*61302/905359)</f>
        <v>29041.401312354101</v>
      </c>
      <c r="U36" s="30"/>
      <c r="V36" s="30"/>
      <c r="W36" s="44"/>
    </row>
    <row r="37" spans="1:24" s="52" customFormat="1" x14ac:dyDescent="0.25">
      <c r="A37" s="5">
        <v>45047</v>
      </c>
      <c r="B37" s="48"/>
      <c r="C37" s="42">
        <f t="shared" si="1"/>
        <v>13006124.669</v>
      </c>
      <c r="D37" s="44">
        <f t="shared" si="2"/>
        <v>4235205.220999999</v>
      </c>
      <c r="E37" s="34">
        <v>24156.759999999995</v>
      </c>
      <c r="F37" s="34">
        <v>-3635</v>
      </c>
      <c r="G37" s="110"/>
      <c r="H37" s="42">
        <f t="shared" si="3"/>
        <v>3404581.5847999994</v>
      </c>
      <c r="I37" s="42">
        <f t="shared" si="4"/>
        <v>212786.34904999996</v>
      </c>
      <c r="J37" s="42">
        <f t="shared" si="5"/>
        <v>212786.34904999996</v>
      </c>
      <c r="K37" s="34"/>
      <c r="L37" s="42">
        <f t="shared" ref="L37:L47" si="6">(F15*0.3*0.1+(O15+R15+U15)*0.1*0.1)*314848/905359+((E37+F37)*0.1*314848/905359)</f>
        <v>147997.32796756731</v>
      </c>
      <c r="M37" s="42">
        <f t="shared" ref="M37:M47" si="7">(F15*0.3*0.1+(O15+R15+U15)*0.1*0.1)*53324/905359+((E37+F37)*0.1*53324/905359)</f>
        <v>25065.458623026221</v>
      </c>
      <c r="N37" s="42">
        <f t="shared" ref="N37:N47" si="8">(F15*0.3*0.1+(O15+R15+U15)*0.1*0.1)*49532/905359+((E37+F37)*0.1*49532/905359)</f>
        <v>23282.992583372117</v>
      </c>
      <c r="O37" s="42">
        <f t="shared" ref="O37:O47" si="9">(F15*0.3*0.1+(O15+R15+U15)*0.1*0.1)*161130/905359+((E37+F37)*0.1*161130/905359)</f>
        <v>75740.704897011019</v>
      </c>
      <c r="P37" s="42"/>
      <c r="Q37" s="42">
        <f t="shared" ref="Q37:Q47" si="10">(F15*0.3*0.1+(O15+R15+U15)*0.1*0.1)*235509/905359+((E37+F37)*0.1*235509/905359)</f>
        <v>110703.26860044787</v>
      </c>
      <c r="R37" s="42">
        <f t="shared" ref="R37:R47" si="11">(F15*0.3*0.1+(O15+R15+U15)*0.1*0.1)*29714/905359+((E37+F37)*0.1*29714/905359)</f>
        <v>13967.35124005328</v>
      </c>
      <c r="S37" s="42"/>
      <c r="T37" s="42">
        <f t="shared" ref="T37:T47" si="12">(F15*0.3*0.1+(O15+R15+U15)*0.1*0.1)*61302/905359+((E37+F37)*0.1*61302/905359)</f>
        <v>28815.594188522118</v>
      </c>
      <c r="U37" s="30"/>
      <c r="V37" s="30"/>
      <c r="W37" s="44"/>
    </row>
    <row r="38" spans="1:24" s="52" customFormat="1" x14ac:dyDescent="0.25">
      <c r="A38" s="5">
        <v>45078</v>
      </c>
      <c r="B38" s="48"/>
      <c r="C38" s="44">
        <f t="shared" si="1"/>
        <v>12257219.035999998</v>
      </c>
      <c r="D38" s="44">
        <f t="shared" si="2"/>
        <v>4209700.703999999</v>
      </c>
      <c r="E38" s="30">
        <v>17513.75</v>
      </c>
      <c r="F38" s="30">
        <v>14000</v>
      </c>
      <c r="G38" s="37"/>
      <c r="H38" s="44">
        <f t="shared" si="3"/>
        <v>3392971.5631999997</v>
      </c>
      <c r="I38" s="44">
        <f t="shared" si="4"/>
        <v>212060.72269999998</v>
      </c>
      <c r="J38" s="44">
        <f t="shared" si="5"/>
        <v>212060.72269999998</v>
      </c>
      <c r="K38" s="30"/>
      <c r="L38" s="44">
        <f t="shared" si="6"/>
        <v>147492.63976091164</v>
      </c>
      <c r="M38" s="44">
        <f t="shared" si="7"/>
        <v>24979.98247602288</v>
      </c>
      <c r="N38" s="44">
        <f t="shared" si="8"/>
        <v>23203.594854143823</v>
      </c>
      <c r="O38" s="44">
        <f t="shared" si="9"/>
        <v>75482.420230319665</v>
      </c>
      <c r="P38" s="44"/>
      <c r="Q38" s="44">
        <f t="shared" si="10"/>
        <v>110325.7575002939</v>
      </c>
      <c r="R38" s="44">
        <f t="shared" si="11"/>
        <v>13919.720937899328</v>
      </c>
      <c r="S38" s="44"/>
      <c r="T38" s="44">
        <f t="shared" si="12"/>
        <v>28717.329640408716</v>
      </c>
      <c r="U38" s="30"/>
      <c r="V38" s="30"/>
      <c r="W38" s="44"/>
    </row>
    <row r="39" spans="1:24" s="52" customFormat="1" x14ac:dyDescent="0.25">
      <c r="A39" s="5">
        <v>45108</v>
      </c>
      <c r="B39" s="48"/>
      <c r="C39" s="44">
        <f t="shared" si="1"/>
        <v>12800414.662</v>
      </c>
      <c r="D39" s="44">
        <f t="shared" si="2"/>
        <v>4452751.9380000001</v>
      </c>
      <c r="E39" s="30">
        <v>19323.84</v>
      </c>
      <c r="F39" s="30">
        <v>0</v>
      </c>
      <c r="G39" s="37"/>
      <c r="H39" s="44">
        <f t="shared" si="3"/>
        <v>3577660.6224000002</v>
      </c>
      <c r="I39" s="44">
        <f t="shared" si="4"/>
        <v>223603.78890000001</v>
      </c>
      <c r="J39" s="44">
        <f t="shared" si="5"/>
        <v>223603.78890000001</v>
      </c>
      <c r="K39" s="30"/>
      <c r="L39" s="44">
        <f t="shared" si="6"/>
        <v>155521.08219521138</v>
      </c>
      <c r="M39" s="44">
        <f t="shared" si="7"/>
        <v>26339.713725281574</v>
      </c>
      <c r="N39" s="44">
        <f t="shared" si="8"/>
        <v>24466.632290162906</v>
      </c>
      <c r="O39" s="44">
        <f t="shared" si="9"/>
        <v>79591.142310303432</v>
      </c>
      <c r="P39" s="44"/>
      <c r="Q39" s="44">
        <f t="shared" si="10"/>
        <v>116331.10118759541</v>
      </c>
      <c r="R39" s="44">
        <f t="shared" si="11"/>
        <v>14677.410802509503</v>
      </c>
      <c r="S39" s="44"/>
      <c r="T39" s="44">
        <f t="shared" si="12"/>
        <v>30280.49528893577</v>
      </c>
      <c r="U39" s="38"/>
      <c r="V39" s="38"/>
      <c r="W39" s="68">
        <f t="shared" ref="W39:W47" si="13">(F17*0.45*0.1+(O17+R17)*0.1*0.1)*63216/884955+((E39+F39)*0.1*63216/884955)</f>
        <v>46316.80349625642</v>
      </c>
    </row>
    <row r="40" spans="1:24" s="52" customFormat="1" x14ac:dyDescent="0.25">
      <c r="A40" s="5">
        <v>45139</v>
      </c>
      <c r="B40" s="48"/>
      <c r="C40" s="44">
        <f t="shared" si="1"/>
        <v>13142254.263999999</v>
      </c>
      <c r="D40" s="44">
        <f t="shared" si="2"/>
        <v>4500869.595999999</v>
      </c>
      <c r="E40" s="30">
        <v>22610.75</v>
      </c>
      <c r="F40" s="30">
        <v>0</v>
      </c>
      <c r="G40" s="37"/>
      <c r="H40" s="44">
        <f t="shared" si="3"/>
        <v>3618784.2767999996</v>
      </c>
      <c r="I40" s="44">
        <f t="shared" si="4"/>
        <v>226174.01729999998</v>
      </c>
      <c r="J40" s="44">
        <f t="shared" si="5"/>
        <v>226174.01729999998</v>
      </c>
      <c r="K40" s="30"/>
      <c r="L40" s="44">
        <f t="shared" si="6"/>
        <v>157308.72946283274</v>
      </c>
      <c r="M40" s="44">
        <f t="shared" si="7"/>
        <v>26642.477290235583</v>
      </c>
      <c r="N40" s="44">
        <f t="shared" si="8"/>
        <v>24747.865597853666</v>
      </c>
      <c r="O40" s="44">
        <f t="shared" si="9"/>
        <v>80506.007909677806</v>
      </c>
      <c r="P40" s="44"/>
      <c r="Q40" s="44">
        <f t="shared" si="10"/>
        <v>117668.27665115317</v>
      </c>
      <c r="R40" s="44">
        <f t="shared" si="11"/>
        <v>14846.121262509565</v>
      </c>
      <c r="S40" s="44"/>
      <c r="T40" s="44">
        <f t="shared" si="12"/>
        <v>30628.55642573741</v>
      </c>
      <c r="U40" s="38"/>
      <c r="V40" s="38"/>
      <c r="W40" s="68">
        <f t="shared" si="13"/>
        <v>46816.388503038455</v>
      </c>
      <c r="X40" s="67"/>
    </row>
    <row r="41" spans="1:24" s="52" customFormat="1" x14ac:dyDescent="0.25">
      <c r="A41" s="5">
        <v>45170</v>
      </c>
      <c r="B41" s="48"/>
      <c r="C41" s="44">
        <f t="shared" si="1"/>
        <v>12659852.534999995</v>
      </c>
      <c r="D41" s="44">
        <f t="shared" si="2"/>
        <v>4209680.9549999982</v>
      </c>
      <c r="E41" s="30">
        <v>45906.34</v>
      </c>
      <c r="F41" s="30">
        <v>0</v>
      </c>
      <c r="G41" s="38"/>
      <c r="H41" s="44">
        <f t="shared" si="3"/>
        <v>3404469.8359999992</v>
      </c>
      <c r="I41" s="44">
        <f t="shared" si="4"/>
        <v>212779.36474999995</v>
      </c>
      <c r="J41" s="44">
        <f t="shared" si="5"/>
        <v>212779.36474999995</v>
      </c>
      <c r="K41" s="30"/>
      <c r="L41" s="44">
        <f t="shared" si="6"/>
        <v>147992.47024176703</v>
      </c>
      <c r="M41" s="44">
        <f t="shared" si="7"/>
        <v>25064.635897868131</v>
      </c>
      <c r="N41" s="44">
        <f t="shared" si="8"/>
        <v>23282.228364211314</v>
      </c>
      <c r="O41" s="44">
        <f t="shared" si="9"/>
        <v>75738.218854990104</v>
      </c>
      <c r="P41" s="44"/>
      <c r="Q41" s="44">
        <f t="shared" si="10"/>
        <v>110699.63497995322</v>
      </c>
      <c r="R41" s="44">
        <f t="shared" si="11"/>
        <v>13966.892788786545</v>
      </c>
      <c r="S41" s="44"/>
      <c r="T41" s="44">
        <f t="shared" si="12"/>
        <v>28814.648372423526</v>
      </c>
      <c r="U41" s="38"/>
      <c r="V41" s="38"/>
      <c r="W41" s="68">
        <f t="shared" si="13"/>
        <v>43528.419059830157</v>
      </c>
    </row>
    <row r="42" spans="1:24" s="52" customFormat="1" x14ac:dyDescent="0.25">
      <c r="A42" s="5">
        <v>45200</v>
      </c>
      <c r="B42" s="48"/>
      <c r="C42" s="44">
        <f>(F20*0.7)+(O20+R20+U20)*0.9</f>
        <v>13204490.269999998</v>
      </c>
      <c r="D42" s="44">
        <f t="shared" si="2"/>
        <v>4309906.0299999984</v>
      </c>
      <c r="E42" s="30">
        <v>24261.03</v>
      </c>
      <c r="F42" s="30">
        <v>0</v>
      </c>
      <c r="G42" s="38"/>
      <c r="H42" s="44">
        <f t="shared" si="3"/>
        <v>3467333.6479999991</v>
      </c>
      <c r="I42" s="44">
        <f t="shared" si="4"/>
        <v>216708.35299999994</v>
      </c>
      <c r="J42" s="44">
        <f t="shared" si="5"/>
        <v>216708.35299999994</v>
      </c>
      <c r="K42" s="30"/>
      <c r="L42" s="44">
        <f t="shared" si="6"/>
        <v>150725.16322330476</v>
      </c>
      <c r="M42" s="44">
        <f t="shared" si="7"/>
        <v>25527.456435230659</v>
      </c>
      <c r="N42" s="44">
        <f t="shared" si="8"/>
        <v>23712.136601714894</v>
      </c>
      <c r="O42" s="44">
        <f t="shared" si="9"/>
        <v>77136.731216876389</v>
      </c>
      <c r="P42" s="44"/>
      <c r="Q42" s="44">
        <f t="shared" si="10"/>
        <v>112743.71272981653</v>
      </c>
      <c r="R42" s="44">
        <f t="shared" si="11"/>
        <v>14224.792598388038</v>
      </c>
      <c r="S42" s="44"/>
      <c r="T42" s="44">
        <f t="shared" si="12"/>
        <v>29346.713194668624</v>
      </c>
      <c r="U42" s="38"/>
      <c r="V42" s="38"/>
      <c r="W42" s="68">
        <f t="shared" si="13"/>
        <v>44424.317625511794</v>
      </c>
    </row>
    <row r="43" spans="1:24" s="52" customFormat="1" x14ac:dyDescent="0.25">
      <c r="A43" s="5">
        <v>45231</v>
      </c>
      <c r="B43" s="48"/>
      <c r="C43" s="44">
        <f t="shared" si="1"/>
        <v>12825356.706999999</v>
      </c>
      <c r="D43" s="44">
        <f t="shared" si="2"/>
        <v>4012201.8829999999</v>
      </c>
      <c r="E43" s="30">
        <v>30474.699999999997</v>
      </c>
      <c r="F43" s="30">
        <v>0</v>
      </c>
      <c r="G43" s="38"/>
      <c r="H43" s="44">
        <f t="shared" si="3"/>
        <v>3234141.2664000001</v>
      </c>
      <c r="I43" s="44">
        <f t="shared" si="4"/>
        <v>202133.82915000001</v>
      </c>
      <c r="J43" s="44">
        <f t="shared" si="5"/>
        <v>202133.82915000001</v>
      </c>
      <c r="K43" s="30"/>
      <c r="L43" s="44">
        <f t="shared" si="6"/>
        <v>140588.27899257466</v>
      </c>
      <c r="M43" s="44">
        <f t="shared" si="7"/>
        <v>23810.630491538937</v>
      </c>
      <c r="N43" s="44">
        <f t="shared" si="8"/>
        <v>22117.398347965394</v>
      </c>
      <c r="O43" s="44">
        <f t="shared" si="9"/>
        <v>71948.970277954941</v>
      </c>
      <c r="P43" s="44"/>
      <c r="Q43" s="44">
        <f t="shared" si="10"/>
        <v>105161.23652448886</v>
      </c>
      <c r="R43" s="44">
        <f t="shared" si="11"/>
        <v>13268.117065966318</v>
      </c>
      <c r="S43" s="44"/>
      <c r="T43" s="44">
        <f t="shared" si="12"/>
        <v>27373.026599510915</v>
      </c>
      <c r="U43" s="38"/>
      <c r="V43" s="38"/>
      <c r="W43" s="68">
        <f t="shared" si="13"/>
        <v>41214.267264328701</v>
      </c>
    </row>
    <row r="44" spans="1:24" s="52" customFormat="1" x14ac:dyDescent="0.25">
      <c r="A44" s="5">
        <v>45261</v>
      </c>
      <c r="B44" s="48"/>
      <c r="C44" s="44">
        <f t="shared" si="1"/>
        <v>13235818.175999999</v>
      </c>
      <c r="D44" s="44">
        <f t="shared" si="2"/>
        <v>4298877.0239999993</v>
      </c>
      <c r="E44" s="30">
        <v>23155.840000000004</v>
      </c>
      <c r="F44" s="30">
        <v>0</v>
      </c>
      <c r="G44" s="38"/>
      <c r="H44" s="44">
        <f t="shared" si="3"/>
        <v>3457626.2911999994</v>
      </c>
      <c r="I44" s="44">
        <f t="shared" si="4"/>
        <v>216101.64319999996</v>
      </c>
      <c r="J44" s="44">
        <f t="shared" si="5"/>
        <v>216101.64319999996</v>
      </c>
      <c r="K44" s="30"/>
      <c r="L44" s="44">
        <f t="shared" si="6"/>
        <v>150303.18394854106</v>
      </c>
      <c r="M44" s="44">
        <f t="shared" si="7"/>
        <v>25455.988225658104</v>
      </c>
      <c r="N44" s="44">
        <f t="shared" si="8"/>
        <v>23645.750671241793</v>
      </c>
      <c r="O44" s="44">
        <f t="shared" si="9"/>
        <v>76920.774563053987</v>
      </c>
      <c r="P44" s="44"/>
      <c r="Q44" s="44">
        <f t="shared" si="10"/>
        <v>112428.06861894297</v>
      </c>
      <c r="R44" s="44">
        <f t="shared" si="11"/>
        <v>14184.968009474249</v>
      </c>
      <c r="S44" s="44"/>
      <c r="T44" s="44">
        <f t="shared" si="12"/>
        <v>29264.552363087787</v>
      </c>
      <c r="U44" s="38"/>
      <c r="V44" s="38"/>
      <c r="W44" s="68">
        <f t="shared" si="13"/>
        <v>44062.42698964625</v>
      </c>
    </row>
    <row r="45" spans="1:24" s="52" customFormat="1" x14ac:dyDescent="0.25">
      <c r="A45" s="5">
        <v>45292</v>
      </c>
      <c r="B45" s="48"/>
      <c r="C45" s="44">
        <f t="shared" si="1"/>
        <v>11685267.148000002</v>
      </c>
      <c r="D45" s="44">
        <f t="shared" si="2"/>
        <v>3971764.2920000004</v>
      </c>
      <c r="E45" s="30">
        <v>29602.319999999996</v>
      </c>
      <c r="F45" s="30">
        <v>20</v>
      </c>
      <c r="G45" s="38"/>
      <c r="H45" s="44">
        <f t="shared" si="3"/>
        <v>3201109.2896000007</v>
      </c>
      <c r="I45" s="44">
        <f t="shared" si="4"/>
        <v>200069.33060000004</v>
      </c>
      <c r="J45" s="44">
        <f t="shared" si="5"/>
        <v>200069.33060000004</v>
      </c>
      <c r="K45" s="30"/>
      <c r="L45" s="44">
        <f t="shared" si="6"/>
        <v>139152.37734589001</v>
      </c>
      <c r="M45" s="44">
        <f t="shared" si="7"/>
        <v>23567.440065022609</v>
      </c>
      <c r="N45" s="44">
        <f t="shared" si="8"/>
        <v>21891.501787200883</v>
      </c>
      <c r="O45" s="44">
        <f t="shared" si="9"/>
        <v>71214.117802060849</v>
      </c>
      <c r="P45" s="44"/>
      <c r="Q45" s="44">
        <f t="shared" si="10"/>
        <v>104087.16979734096</v>
      </c>
      <c r="R45" s="44">
        <f t="shared" si="11"/>
        <v>13132.602844724361</v>
      </c>
      <c r="S45" s="44"/>
      <c r="T45" s="44">
        <f t="shared" si="12"/>
        <v>27093.451557760407</v>
      </c>
      <c r="U45" s="38"/>
      <c r="V45" s="38"/>
      <c r="W45" s="68">
        <f t="shared" si="13"/>
        <v>41304.623151691114</v>
      </c>
    </row>
    <row r="46" spans="1:24" s="52" customFormat="1" x14ac:dyDescent="0.25">
      <c r="A46" s="5">
        <v>45323</v>
      </c>
      <c r="B46" s="48"/>
      <c r="C46" s="44">
        <f t="shared" si="1"/>
        <v>12036942.224999996</v>
      </c>
      <c r="D46" s="44">
        <f t="shared" si="2"/>
        <v>4379012.464999998</v>
      </c>
      <c r="E46" s="30">
        <v>26496.6</v>
      </c>
      <c r="F46" s="30">
        <v>21000</v>
      </c>
      <c r="G46" s="38"/>
      <c r="H46" s="44">
        <f t="shared" si="3"/>
        <v>3541207.2519999985</v>
      </c>
      <c r="I46" s="44">
        <f t="shared" si="4"/>
        <v>221325.4532499999</v>
      </c>
      <c r="J46" s="44">
        <f t="shared" si="5"/>
        <v>221325.4532499999</v>
      </c>
      <c r="K46" s="30"/>
      <c r="L46" s="44">
        <f t="shared" si="6"/>
        <v>153936.45240143628</v>
      </c>
      <c r="M46" s="44">
        <f t="shared" si="7"/>
        <v>26071.334065498868</v>
      </c>
      <c r="N46" s="44">
        <f t="shared" si="8"/>
        <v>24217.337764089156</v>
      </c>
      <c r="O46" s="44">
        <f t="shared" si="9"/>
        <v>78780.175117654944</v>
      </c>
      <c r="P46" s="44"/>
      <c r="Q46" s="44">
        <f t="shared" si="10"/>
        <v>115145.78453288526</v>
      </c>
      <c r="R46" s="44">
        <f t="shared" si="11"/>
        <v>14527.860258462108</v>
      </c>
      <c r="S46" s="44"/>
      <c r="T46" s="44">
        <f t="shared" si="12"/>
        <v>29971.962359973215</v>
      </c>
      <c r="U46" s="38"/>
      <c r="V46" s="38"/>
      <c r="W46" s="68">
        <f t="shared" si="13"/>
        <v>46291.86757715272</v>
      </c>
    </row>
    <row r="47" spans="1:24" s="52" customFormat="1" x14ac:dyDescent="0.25">
      <c r="A47" s="5">
        <v>45352</v>
      </c>
      <c r="B47" s="48"/>
      <c r="C47" s="44">
        <f t="shared" si="1"/>
        <v>13816916.309999997</v>
      </c>
      <c r="D47" s="44">
        <f t="shared" si="2"/>
        <v>4657166.1099999985</v>
      </c>
      <c r="E47" s="30">
        <v>19352.64</v>
      </c>
      <c r="F47" s="30">
        <v>10000</v>
      </c>
      <c r="G47" s="38"/>
      <c r="H47" s="44">
        <f t="shared" si="3"/>
        <v>3749214.9999999986</v>
      </c>
      <c r="I47" s="44">
        <f t="shared" si="4"/>
        <v>234325.93749999991</v>
      </c>
      <c r="J47" s="44">
        <f t="shared" si="5"/>
        <v>234325.93749999991</v>
      </c>
      <c r="K47" s="30"/>
      <c r="L47" s="44">
        <f t="shared" si="6"/>
        <v>162978.55937810297</v>
      </c>
      <c r="M47" s="44">
        <f t="shared" si="7"/>
        <v>27602.743864588512</v>
      </c>
      <c r="N47" s="44">
        <f t="shared" si="8"/>
        <v>25639.845268561963</v>
      </c>
      <c r="O47" s="44">
        <f t="shared" si="9"/>
        <v>83407.661070083748</v>
      </c>
      <c r="P47" s="44"/>
      <c r="Q47" s="44">
        <f t="shared" si="10"/>
        <v>121909.3579777469</v>
      </c>
      <c r="R47" s="44">
        <f t="shared" si="11"/>
        <v>15381.215422556128</v>
      </c>
      <c r="S47" s="44"/>
      <c r="T47" s="44">
        <f t="shared" si="12"/>
        <v>31732.492018359553</v>
      </c>
      <c r="U47" s="38"/>
      <c r="V47" s="38"/>
      <c r="W47" s="68">
        <f t="shared" si="13"/>
        <v>48266.373717524621</v>
      </c>
    </row>
    <row r="48" spans="1:24" s="52" customFormat="1" ht="15.75" thickBot="1" x14ac:dyDescent="0.3">
      <c r="A48" s="5" t="s">
        <v>28</v>
      </c>
      <c r="B48" s="48"/>
      <c r="C48" s="69">
        <f>SUM(C36:C47)</f>
        <v>153391487.06399998</v>
      </c>
      <c r="D48" s="69">
        <f>SUM(D36:D47)</f>
        <v>51508425.675999984</v>
      </c>
      <c r="E48" s="69">
        <f>SUM(E36:E47)</f>
        <v>300641.17</v>
      </c>
      <c r="F48" s="39">
        <f>SUM(F36:F47)</f>
        <v>41385</v>
      </c>
      <c r="G48" s="46"/>
      <c r="H48" s="69">
        <f>SUM(H36:H47)</f>
        <v>41480361.476799995</v>
      </c>
      <c r="I48" s="69">
        <f t="shared" ref="I48:R48" si="14">SUM(I36:I47)</f>
        <v>2592522.5922999997</v>
      </c>
      <c r="J48" s="69">
        <f t="shared" si="14"/>
        <v>2592522.5922999997</v>
      </c>
      <c r="K48" s="69"/>
      <c r="L48" s="69">
        <f t="shared" si="14"/>
        <v>1803153.3416920141</v>
      </c>
      <c r="M48" s="69">
        <f t="shared" si="14"/>
        <v>305389.73978677002</v>
      </c>
      <c r="N48" s="69">
        <f t="shared" si="14"/>
        <v>283672.72881100996</v>
      </c>
      <c r="O48" s="69">
        <f t="shared" si="14"/>
        <v>922801.15467411024</v>
      </c>
      <c r="P48" s="69"/>
      <c r="Q48" s="69">
        <f t="shared" si="14"/>
        <v>1348774.139739</v>
      </c>
      <c r="R48" s="69">
        <f t="shared" si="14"/>
        <v>170173.85657535231</v>
      </c>
      <c r="S48" s="69"/>
      <c r="T48" s="69">
        <f>SUM(T36:T47)</f>
        <v>351080.22332174215</v>
      </c>
      <c r="U48" s="46"/>
      <c r="V48" s="46"/>
      <c r="W48" s="68"/>
      <c r="X48" s="70"/>
    </row>
    <row r="49" spans="1:24" s="52" customFormat="1" ht="15.75" thickTop="1" x14ac:dyDescent="0.25">
      <c r="A49" s="48"/>
      <c r="B49" s="48"/>
      <c r="C49" s="46"/>
      <c r="D49" s="49"/>
      <c r="E49" s="49"/>
      <c r="F49" s="49"/>
      <c r="G49" s="49"/>
      <c r="H49" s="49"/>
      <c r="I49" s="49"/>
      <c r="J49" s="51"/>
      <c r="K49" s="51"/>
      <c r="L49" s="49"/>
      <c r="M49" s="49"/>
      <c r="N49" s="49"/>
      <c r="O49" s="49"/>
      <c r="P49" s="51"/>
      <c r="Q49" s="49"/>
      <c r="R49" s="51"/>
      <c r="S49" s="51"/>
      <c r="T49" s="51"/>
      <c r="U49" s="51"/>
      <c r="V49" s="51"/>
      <c r="W49" s="68"/>
    </row>
    <row r="50" spans="1:24" s="52" customFormat="1" x14ac:dyDescent="0.25">
      <c r="A50" s="48"/>
      <c r="B50" s="48"/>
      <c r="C50" s="49">
        <f>C48/W26</f>
        <v>0.74861665392039634</v>
      </c>
      <c r="D50" s="49">
        <f>D48/W26</f>
        <v>0.25138334607960355</v>
      </c>
      <c r="E50" s="49"/>
      <c r="F50" s="49"/>
      <c r="G50" s="49"/>
      <c r="H50" s="49">
        <f>H48/($D48+$E$48+$F$48)</f>
        <v>0.80000000000000016</v>
      </c>
      <c r="I50" s="49">
        <f t="shared" ref="I50:R50" si="15">I48/($D48+$E$48+$F$48)</f>
        <v>5.000000000000001E-2</v>
      </c>
      <c r="J50" s="49">
        <f t="shared" si="15"/>
        <v>5.000000000000001E-2</v>
      </c>
      <c r="K50" s="49"/>
      <c r="L50" s="49">
        <f t="shared" si="15"/>
        <v>3.4776039118184054E-2</v>
      </c>
      <c r="M50" s="49">
        <f t="shared" si="15"/>
        <v>5.8898182930749018E-3</v>
      </c>
      <c r="N50" s="49">
        <f t="shared" si="15"/>
        <v>5.4709789155462096E-3</v>
      </c>
      <c r="O50" s="49">
        <f t="shared" si="15"/>
        <v>1.7797359942299133E-2</v>
      </c>
      <c r="P50" s="49"/>
      <c r="Q50" s="49">
        <f t="shared" si="15"/>
        <v>2.6012775042828319E-2</v>
      </c>
      <c r="R50" s="49">
        <f t="shared" si="15"/>
        <v>3.2820129915315369E-3</v>
      </c>
      <c r="S50" s="49"/>
      <c r="T50" s="49">
        <f>T48/($D48+$E$48+$F$48)</f>
        <v>6.7710156965358499E-3</v>
      </c>
      <c r="U50" s="49"/>
      <c r="V50" s="49"/>
      <c r="W50" s="68"/>
    </row>
    <row r="51" spans="1:24" s="52" customFormat="1" x14ac:dyDescent="0.25">
      <c r="A51" s="48"/>
      <c r="B51" s="48"/>
      <c r="C51" s="49"/>
      <c r="D51" s="49"/>
      <c r="E51" s="51"/>
      <c r="F51" s="46"/>
      <c r="G51" s="51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1"/>
      <c r="V51" s="51"/>
      <c r="W51" s="68"/>
      <c r="X51" s="70"/>
    </row>
    <row r="52" spans="1:24" s="52" customFormat="1" x14ac:dyDescent="0.25">
      <c r="A52" s="71" t="s">
        <v>55</v>
      </c>
      <c r="B52" s="48"/>
      <c r="C52" s="49"/>
      <c r="D52" s="49"/>
      <c r="E52" s="51"/>
      <c r="F52" s="51"/>
      <c r="G52" s="51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1"/>
      <c r="V52" s="51"/>
      <c r="W52" s="68"/>
      <c r="X52" s="70"/>
    </row>
    <row r="53" spans="1:24" s="52" customFormat="1" x14ac:dyDescent="0.25">
      <c r="A53" s="72" t="s">
        <v>86</v>
      </c>
      <c r="B53" s="73"/>
      <c r="C53" s="74"/>
      <c r="D53" s="74"/>
      <c r="E53" s="54"/>
      <c r="F53" s="54"/>
      <c r="G53" s="5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54"/>
      <c r="V53" s="54"/>
      <c r="W53" s="54"/>
      <c r="X53" s="70"/>
    </row>
    <row r="54" spans="1:24" s="52" customFormat="1" x14ac:dyDescent="0.25">
      <c r="A54" s="72" t="s">
        <v>57</v>
      </c>
      <c r="B54" s="73"/>
      <c r="C54" s="74"/>
      <c r="D54" s="74"/>
      <c r="E54" s="54"/>
      <c r="F54" s="54"/>
      <c r="G54" s="5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54"/>
      <c r="V54" s="54"/>
      <c r="W54" s="54"/>
    </row>
    <row r="55" spans="1:24" s="52" customFormat="1" x14ac:dyDescent="0.25">
      <c r="A55" s="72"/>
      <c r="B55" s="73"/>
      <c r="C55" s="74"/>
      <c r="D55" s="74"/>
      <c r="E55" s="54"/>
      <c r="F55" s="54"/>
      <c r="G55" s="54"/>
      <c r="H55" s="75"/>
      <c r="I55" s="75"/>
      <c r="J55" s="75"/>
      <c r="K55" s="74"/>
      <c r="L55" s="76"/>
      <c r="M55" s="76"/>
      <c r="N55" s="76"/>
      <c r="O55" s="76"/>
      <c r="P55" s="74"/>
      <c r="Q55" s="76"/>
      <c r="R55" s="76"/>
      <c r="S55" s="76"/>
      <c r="T55" s="76"/>
      <c r="U55" s="77"/>
      <c r="V55" s="77"/>
      <c r="W55" s="77"/>
    </row>
    <row r="56" spans="1:24" s="52" customFormat="1" ht="15" customHeight="1" x14ac:dyDescent="0.25">
      <c r="A56" s="72" t="s">
        <v>58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1:24" s="52" customFormat="1" x14ac:dyDescent="0.25">
      <c r="A57" s="54"/>
      <c r="B57" s="73"/>
      <c r="C57" s="74"/>
      <c r="D57" s="79"/>
      <c r="E57" s="54"/>
      <c r="F57" s="54"/>
      <c r="G57" s="5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54"/>
      <c r="V57" s="54"/>
      <c r="W57" s="54"/>
    </row>
    <row r="58" spans="1:24" ht="15" customHeight="1" x14ac:dyDescent="0.25">
      <c r="A58" s="80" t="s">
        <v>59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32"/>
      <c r="P58" s="32"/>
      <c r="Q58" s="32"/>
      <c r="R58" s="32"/>
      <c r="S58" s="32"/>
      <c r="T58" s="32"/>
      <c r="U58" s="36"/>
      <c r="V58" s="36"/>
      <c r="W58" s="36"/>
    </row>
    <row r="59" spans="1:24" x14ac:dyDescent="0.25">
      <c r="A59" s="80" t="s">
        <v>74</v>
      </c>
      <c r="B59" s="5"/>
      <c r="C59" s="32"/>
      <c r="D59" s="32"/>
      <c r="E59" s="32"/>
      <c r="F59" s="32"/>
      <c r="G59" s="32"/>
      <c r="H59" s="32"/>
      <c r="I59" s="35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6"/>
      <c r="V59" s="36"/>
      <c r="W59" s="36"/>
    </row>
    <row r="60" spans="1:24" x14ac:dyDescent="0.25">
      <c r="A60" s="5"/>
      <c r="B60" s="5"/>
      <c r="C60" s="32"/>
      <c r="D60" s="32"/>
      <c r="E60" s="32"/>
      <c r="F60" s="32"/>
      <c r="G60" s="32"/>
      <c r="H60" s="32"/>
      <c r="I60" s="35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6"/>
      <c r="V60" s="36"/>
      <c r="W60" s="36"/>
    </row>
    <row r="61" spans="1:24" x14ac:dyDescent="0.25">
      <c r="A61" s="80" t="s">
        <v>61</v>
      </c>
      <c r="B61" s="5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6"/>
      <c r="V61" s="36"/>
      <c r="W61" s="36"/>
    </row>
    <row r="62" spans="1:24" x14ac:dyDescent="0.25">
      <c r="A62" s="80"/>
      <c r="B62" s="5"/>
      <c r="C62" s="32"/>
      <c r="D62" s="32"/>
      <c r="E62" s="32"/>
      <c r="F62" s="32"/>
      <c r="G62" s="32"/>
      <c r="H62" s="32"/>
      <c r="I62" s="35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6"/>
      <c r="V62" s="36"/>
      <c r="W62" s="36"/>
    </row>
    <row r="63" spans="1:24" x14ac:dyDescent="0.25">
      <c r="A63" s="80" t="s">
        <v>75</v>
      </c>
      <c r="B63" s="5"/>
      <c r="C63" s="32"/>
      <c r="D63" s="32"/>
      <c r="E63" s="32"/>
      <c r="F63" s="32"/>
      <c r="G63" s="32"/>
      <c r="H63" s="32"/>
      <c r="I63" s="35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6"/>
      <c r="V63" s="36"/>
      <c r="W63" s="36"/>
    </row>
    <row r="64" spans="1:24" x14ac:dyDescent="0.25">
      <c r="A64" s="81"/>
      <c r="B64" s="82"/>
      <c r="C64" s="83"/>
      <c r="D64" s="83"/>
      <c r="E64" s="83"/>
      <c r="F64" s="83"/>
      <c r="G64" s="83"/>
      <c r="H64" s="83"/>
      <c r="I64" s="84"/>
      <c r="J64" s="83"/>
      <c r="K64" s="83"/>
      <c r="L64" s="83"/>
      <c r="M64" s="83"/>
      <c r="N64" s="83"/>
      <c r="O64" s="83"/>
    </row>
    <row r="65" spans="1:1" x14ac:dyDescent="0.25">
      <c r="A65" s="100" t="s">
        <v>71</v>
      </c>
    </row>
  </sheetData>
  <mergeCells count="13">
    <mergeCell ref="A8:W8"/>
    <mergeCell ref="A1:W1"/>
    <mergeCell ref="A2:W2"/>
    <mergeCell ref="A3:W3"/>
    <mergeCell ref="A4:W4"/>
    <mergeCell ref="A5:W5"/>
    <mergeCell ref="L34:W34"/>
    <mergeCell ref="C10:I10"/>
    <mergeCell ref="L10:O10"/>
    <mergeCell ref="Q10:R10"/>
    <mergeCell ref="T10:U10"/>
    <mergeCell ref="A30:W30"/>
    <mergeCell ref="H32:T32"/>
  </mergeCells>
  <hyperlinks>
    <hyperlink ref="A4" r:id="rId1" xr:uid="{DF8905BE-DEB8-46FD-89A5-BF61C00C9841}"/>
  </hyperlinks>
  <printOptions horizontalCentered="1" verticalCentered="1"/>
  <pageMargins left="0" right="0" top="0.25" bottom="0.25" header="0.3" footer="0.3"/>
  <pageSetup scale="5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75C2F-3FF7-45D7-A42B-83B1699DA2F1}">
  <sheetPr>
    <pageSetUpPr fitToPage="1"/>
  </sheetPr>
  <dimension ref="A1:X65"/>
  <sheetViews>
    <sheetView topLeftCell="A19" zoomScaleNormal="100" workbookViewId="0">
      <selection activeCell="E40" sqref="E40"/>
    </sheetView>
  </sheetViews>
  <sheetFormatPr defaultRowHeight="15" x14ac:dyDescent="0.25"/>
  <cols>
    <col min="1" max="1" width="9.28515625" style="86" customWidth="1"/>
    <col min="2" max="2" width="1.7109375" style="86" customWidth="1"/>
    <col min="3" max="3" width="15.5703125" style="85" bestFit="1" customWidth="1"/>
    <col min="4" max="4" width="14.28515625" style="85" bestFit="1" customWidth="1"/>
    <col min="5" max="5" width="15.5703125" style="85" bestFit="1" customWidth="1"/>
    <col min="6" max="6" width="16.28515625" style="85" bestFit="1" customWidth="1"/>
    <col min="7" max="7" width="1.85546875" style="85" customWidth="1"/>
    <col min="8" max="8" width="15" style="85" customWidth="1"/>
    <col min="9" max="9" width="11.7109375" style="67" customWidth="1"/>
    <col min="10" max="10" width="12.140625" style="85" bestFit="1" customWidth="1"/>
    <col min="11" max="11" width="1.140625" style="85" customWidth="1"/>
    <col min="12" max="12" width="11.7109375" style="85" customWidth="1"/>
    <col min="13" max="13" width="17.7109375" style="85" customWidth="1"/>
    <col min="14" max="14" width="11.5703125" style="85" customWidth="1"/>
    <col min="15" max="15" width="12.42578125" style="85" customWidth="1"/>
    <col min="16" max="16" width="3.42578125" style="85" customWidth="1"/>
    <col min="17" max="17" width="15" style="85" customWidth="1"/>
    <col min="18" max="18" width="12.140625" style="85" customWidth="1"/>
    <col min="19" max="19" width="3.42578125" style="85" customWidth="1"/>
    <col min="20" max="20" width="13.5703125" style="85" customWidth="1"/>
    <col min="21" max="21" width="13.42578125" style="1" customWidth="1"/>
    <col min="22" max="22" width="3.42578125" style="1" customWidth="1"/>
    <col min="23" max="23" width="14.42578125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3" ht="18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</row>
    <row r="2" spans="1:23" ht="15.75" x14ac:dyDescent="0.25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</row>
    <row r="3" spans="1:23" s="2" customFormat="1" ht="15.75" x14ac:dyDescent="0.25">
      <c r="A3" s="128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</row>
    <row r="4" spans="1:23" s="2" customFormat="1" ht="14.25" customHeight="1" x14ac:dyDescent="0.25">
      <c r="A4" s="129" t="s">
        <v>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</row>
    <row r="5" spans="1:23" s="2" customFormat="1" x14ac:dyDescent="0.25">
      <c r="A5" s="131" t="s">
        <v>4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</row>
    <row r="6" spans="1:23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</row>
    <row r="7" spans="1:23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</row>
    <row r="8" spans="1:23" s="9" customFormat="1" ht="14.25" customHeight="1" x14ac:dyDescent="0.25">
      <c r="A8" s="121" t="s">
        <v>83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3"/>
    </row>
    <row r="9" spans="1:23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4"/>
      <c r="V9" s="4"/>
      <c r="W9" s="4"/>
    </row>
    <row r="10" spans="1:23" s="15" customFormat="1" ht="12.75" x14ac:dyDescent="0.2">
      <c r="A10" s="10"/>
      <c r="B10" s="10"/>
      <c r="C10" s="118" t="s">
        <v>6</v>
      </c>
      <c r="D10" s="119"/>
      <c r="E10" s="119"/>
      <c r="F10" s="119"/>
      <c r="G10" s="119"/>
      <c r="H10" s="119"/>
      <c r="I10" s="119"/>
      <c r="J10" s="11"/>
      <c r="K10" s="12"/>
      <c r="L10" s="118" t="s">
        <v>7</v>
      </c>
      <c r="M10" s="119"/>
      <c r="N10" s="119"/>
      <c r="O10" s="120"/>
      <c r="P10" s="13"/>
      <c r="Q10" s="118" t="s">
        <v>8</v>
      </c>
      <c r="R10" s="120"/>
      <c r="S10" s="102"/>
      <c r="T10" s="118" t="s">
        <v>72</v>
      </c>
      <c r="U10" s="120"/>
      <c r="V10" s="102"/>
      <c r="W10" s="14"/>
    </row>
    <row r="11" spans="1:23" s="21" customFormat="1" ht="12" x14ac:dyDescent="0.2">
      <c r="A11" s="16"/>
      <c r="B11" s="16"/>
      <c r="C11" s="17"/>
      <c r="D11" s="18" t="s">
        <v>9</v>
      </c>
      <c r="E11" s="17"/>
      <c r="F11" s="17"/>
      <c r="G11" s="17"/>
      <c r="H11" s="19" t="s">
        <v>10</v>
      </c>
      <c r="I11" s="17"/>
      <c r="J11" s="17"/>
      <c r="K11" s="17"/>
      <c r="L11" s="18" t="s">
        <v>11</v>
      </c>
      <c r="M11" s="18"/>
      <c r="N11" s="18" t="s">
        <v>9</v>
      </c>
      <c r="O11" s="18" t="s">
        <v>11</v>
      </c>
      <c r="P11" s="20"/>
      <c r="Q11" s="18" t="s">
        <v>11</v>
      </c>
      <c r="R11" s="18" t="s">
        <v>11</v>
      </c>
      <c r="S11" s="18"/>
      <c r="T11" s="18" t="s">
        <v>80</v>
      </c>
      <c r="U11" s="24" t="s">
        <v>82</v>
      </c>
      <c r="V11" s="20"/>
      <c r="W11" s="18" t="s">
        <v>11</v>
      </c>
    </row>
    <row r="12" spans="1:23" s="25" customFormat="1" ht="12" x14ac:dyDescent="0.2">
      <c r="A12" s="22"/>
      <c r="B12" s="22"/>
      <c r="C12" s="18" t="s">
        <v>12</v>
      </c>
      <c r="D12" s="23" t="s">
        <v>13</v>
      </c>
      <c r="E12" s="18" t="s">
        <v>12</v>
      </c>
      <c r="F12" s="18" t="s">
        <v>14</v>
      </c>
      <c r="G12" s="18"/>
      <c r="H12" s="19" t="s">
        <v>15</v>
      </c>
      <c r="I12" s="18" t="s">
        <v>16</v>
      </c>
      <c r="J12" s="18"/>
      <c r="K12" s="18"/>
      <c r="L12" s="24" t="s">
        <v>10</v>
      </c>
      <c r="M12" s="18" t="s">
        <v>17</v>
      </c>
      <c r="N12" s="18" t="s">
        <v>17</v>
      </c>
      <c r="O12" s="18" t="s">
        <v>17</v>
      </c>
      <c r="P12" s="24"/>
      <c r="Q12" s="24" t="s">
        <v>10</v>
      </c>
      <c r="R12" s="18" t="s">
        <v>18</v>
      </c>
      <c r="S12" s="18"/>
      <c r="T12" s="18" t="s">
        <v>81</v>
      </c>
      <c r="U12" s="18" t="s">
        <v>81</v>
      </c>
      <c r="V12" s="18"/>
      <c r="W12" s="18" t="s">
        <v>11</v>
      </c>
    </row>
    <row r="13" spans="1:23" s="25" customFormat="1" ht="12" x14ac:dyDescent="0.2">
      <c r="A13" s="26" t="s">
        <v>19</v>
      </c>
      <c r="B13" s="26"/>
      <c r="C13" s="27" t="s">
        <v>20</v>
      </c>
      <c r="D13" s="27" t="s">
        <v>12</v>
      </c>
      <c r="E13" s="27" t="s">
        <v>21</v>
      </c>
      <c r="F13" s="27" t="s">
        <v>22</v>
      </c>
      <c r="G13" s="27"/>
      <c r="H13" s="28" t="s">
        <v>23</v>
      </c>
      <c r="I13" s="27" t="s">
        <v>24</v>
      </c>
      <c r="J13" s="23"/>
      <c r="K13" s="23"/>
      <c r="L13" s="27" t="s">
        <v>25</v>
      </c>
      <c r="M13" s="27" t="s">
        <v>26</v>
      </c>
      <c r="N13" s="27" t="s">
        <v>12</v>
      </c>
      <c r="O13" s="27" t="s">
        <v>22</v>
      </c>
      <c r="P13" s="29"/>
      <c r="Q13" s="27" t="s">
        <v>8</v>
      </c>
      <c r="R13" s="27" t="s">
        <v>22</v>
      </c>
      <c r="S13" s="23"/>
      <c r="T13" s="27" t="s">
        <v>79</v>
      </c>
      <c r="U13" s="27" t="s">
        <v>22</v>
      </c>
      <c r="V13" s="23"/>
      <c r="W13" s="27" t="s">
        <v>27</v>
      </c>
    </row>
    <row r="14" spans="1:23" x14ac:dyDescent="0.25">
      <c r="A14" s="5">
        <v>44652</v>
      </c>
      <c r="B14" s="5"/>
      <c r="C14" s="30">
        <v>147991560.45000002</v>
      </c>
      <c r="D14" s="30">
        <v>875507.04</v>
      </c>
      <c r="E14" s="30">
        <v>134137537.45</v>
      </c>
      <c r="F14" s="30">
        <v>12978515.960000001</v>
      </c>
      <c r="G14" s="30"/>
      <c r="H14" s="31">
        <v>1050</v>
      </c>
      <c r="I14" s="30">
        <v>412</v>
      </c>
      <c r="J14" s="30"/>
      <c r="K14" s="32"/>
      <c r="L14" s="33">
        <v>67</v>
      </c>
      <c r="M14" s="34">
        <v>18509313</v>
      </c>
      <c r="N14" s="34">
        <v>126715</v>
      </c>
      <c r="O14" s="34">
        <v>4197941.84</v>
      </c>
      <c r="P14" s="32"/>
      <c r="Q14" s="35">
        <v>16</v>
      </c>
      <c r="R14" s="32">
        <v>352416</v>
      </c>
      <c r="S14" s="32"/>
      <c r="T14" s="32">
        <v>3107675.1899999995</v>
      </c>
      <c r="U14" s="30">
        <v>211486.68999999994</v>
      </c>
      <c r="V14" s="30"/>
      <c r="W14" s="30">
        <f t="shared" ref="W14:W25" si="0">F14+O14+R14+U14</f>
        <v>17740360.490000002</v>
      </c>
    </row>
    <row r="15" spans="1:23" x14ac:dyDescent="0.25">
      <c r="A15" s="5">
        <v>44682</v>
      </c>
      <c r="B15" s="5"/>
      <c r="C15" s="30">
        <v>140793803.77000001</v>
      </c>
      <c r="D15" s="30">
        <v>907524.58</v>
      </c>
      <c r="E15" s="30">
        <v>128155123.51000001</v>
      </c>
      <c r="F15" s="30">
        <v>11731155.68</v>
      </c>
      <c r="G15" s="30"/>
      <c r="H15" s="31">
        <v>1050</v>
      </c>
      <c r="I15" s="30">
        <v>360</v>
      </c>
      <c r="J15" s="30"/>
      <c r="K15" s="37"/>
      <c r="L15" s="37">
        <v>67</v>
      </c>
      <c r="M15" s="30">
        <v>17676344</v>
      </c>
      <c r="N15" s="30">
        <v>127280</v>
      </c>
      <c r="O15" s="30">
        <v>3635581.24</v>
      </c>
      <c r="P15" s="37"/>
      <c r="Q15" s="35">
        <v>16</v>
      </c>
      <c r="R15" s="32">
        <v>275213</v>
      </c>
      <c r="S15" s="32"/>
      <c r="T15" s="32">
        <v>2840628.13</v>
      </c>
      <c r="U15" s="30">
        <v>283289.84999999998</v>
      </c>
      <c r="V15" s="30"/>
      <c r="W15" s="30">
        <f t="shared" si="0"/>
        <v>15925239.77</v>
      </c>
    </row>
    <row r="16" spans="1:23" x14ac:dyDescent="0.25">
      <c r="A16" s="5">
        <v>44713</v>
      </c>
      <c r="B16" s="5"/>
      <c r="C16" s="30">
        <v>141469961.75999999</v>
      </c>
      <c r="D16" s="30">
        <v>864809.36</v>
      </c>
      <c r="E16" s="30">
        <v>128809343.63</v>
      </c>
      <c r="F16" s="30">
        <v>11795808.77</v>
      </c>
      <c r="G16" s="30"/>
      <c r="H16" s="31">
        <v>1050</v>
      </c>
      <c r="I16" s="30">
        <v>374</v>
      </c>
      <c r="J16" s="30"/>
      <c r="K16" s="37"/>
      <c r="L16" s="37">
        <v>67</v>
      </c>
      <c r="M16" s="30">
        <v>15526309</v>
      </c>
      <c r="N16" s="30">
        <v>150340</v>
      </c>
      <c r="O16" s="30">
        <v>3770442.5</v>
      </c>
      <c r="P16" s="37"/>
      <c r="Q16" s="35">
        <v>16</v>
      </c>
      <c r="R16" s="32">
        <v>306673</v>
      </c>
      <c r="S16" s="32"/>
      <c r="T16" s="32">
        <v>2550256.84</v>
      </c>
      <c r="U16" s="30">
        <v>135259.29</v>
      </c>
      <c r="V16" s="30"/>
      <c r="W16" s="30">
        <f t="shared" si="0"/>
        <v>16008183.559999999</v>
      </c>
    </row>
    <row r="17" spans="1:23" x14ac:dyDescent="0.25">
      <c r="A17" s="5">
        <v>44743</v>
      </c>
      <c r="B17" s="5"/>
      <c r="C17" s="30">
        <v>150166591.27000001</v>
      </c>
      <c r="D17" s="30">
        <v>863513.44</v>
      </c>
      <c r="E17" s="30">
        <v>136513365.22999999</v>
      </c>
      <c r="F17" s="30">
        <v>12789712.599999998</v>
      </c>
      <c r="G17" s="38"/>
      <c r="H17" s="31">
        <v>1050</v>
      </c>
      <c r="I17" s="30">
        <v>392.9251182795698</v>
      </c>
      <c r="J17" s="30"/>
      <c r="K17" s="38"/>
      <c r="L17" s="37">
        <v>67</v>
      </c>
      <c r="M17" s="30">
        <v>17611044</v>
      </c>
      <c r="N17" s="30">
        <v>191280</v>
      </c>
      <c r="O17" s="30">
        <v>3036293.8899999997</v>
      </c>
      <c r="P17" s="38"/>
      <c r="Q17" s="35">
        <v>16</v>
      </c>
      <c r="R17" s="32">
        <v>352480</v>
      </c>
      <c r="S17" s="32"/>
      <c r="T17" s="32">
        <v>2273476.81</v>
      </c>
      <c r="U17" s="30">
        <v>320537.76</v>
      </c>
      <c r="V17" s="30"/>
      <c r="W17" s="30">
        <f t="shared" si="0"/>
        <v>16499024.249999998</v>
      </c>
    </row>
    <row r="18" spans="1:23" x14ac:dyDescent="0.25">
      <c r="A18" s="5">
        <v>44774</v>
      </c>
      <c r="B18" s="5"/>
      <c r="C18" s="30">
        <v>150057404.85000002</v>
      </c>
      <c r="D18" s="30">
        <v>897806.03</v>
      </c>
      <c r="E18" s="30">
        <v>136077980.18000001</v>
      </c>
      <c r="F18" s="30">
        <v>13081618.640000002</v>
      </c>
      <c r="G18" s="38"/>
      <c r="H18" s="31">
        <v>1050</v>
      </c>
      <c r="I18" s="30">
        <v>401.89304577572972</v>
      </c>
      <c r="J18" s="30"/>
      <c r="K18" s="38"/>
      <c r="L18" s="37">
        <v>67</v>
      </c>
      <c r="M18" s="30">
        <v>19754050</v>
      </c>
      <c r="N18" s="30">
        <v>177965</v>
      </c>
      <c r="O18" s="30">
        <v>4039588.69</v>
      </c>
      <c r="P18" s="38"/>
      <c r="Q18" s="35">
        <v>16</v>
      </c>
      <c r="R18" s="32">
        <v>361443</v>
      </c>
      <c r="S18" s="32"/>
      <c r="T18" s="32">
        <v>2359674.9100000006</v>
      </c>
      <c r="U18" s="30">
        <v>366953.32000000007</v>
      </c>
      <c r="V18" s="30"/>
      <c r="W18" s="30">
        <f t="shared" si="0"/>
        <v>17849603.650000002</v>
      </c>
    </row>
    <row r="19" spans="1:23" x14ac:dyDescent="0.25">
      <c r="A19" s="5">
        <v>44805</v>
      </c>
      <c r="B19" s="5"/>
      <c r="C19" s="30">
        <v>143362347.94</v>
      </c>
      <c r="D19" s="30">
        <v>848295.84</v>
      </c>
      <c r="E19" s="30">
        <v>130332314.12</v>
      </c>
      <c r="F19" s="30">
        <v>12181737.98</v>
      </c>
      <c r="G19" s="38"/>
      <c r="H19" s="31">
        <v>1050</v>
      </c>
      <c r="I19" s="30">
        <v>387</v>
      </c>
      <c r="J19" s="30"/>
      <c r="K19" s="38"/>
      <c r="L19" s="37">
        <v>67</v>
      </c>
      <c r="M19" s="30">
        <v>17483842</v>
      </c>
      <c r="N19" s="30">
        <v>214710</v>
      </c>
      <c r="O19" s="30">
        <v>3538646.88</v>
      </c>
      <c r="P19" s="38"/>
      <c r="Q19" s="35">
        <v>16</v>
      </c>
      <c r="R19" s="32">
        <v>346155</v>
      </c>
      <c r="S19" s="32"/>
      <c r="T19" s="32">
        <v>4574165.93</v>
      </c>
      <c r="U19" s="30">
        <v>887720.65</v>
      </c>
      <c r="V19" s="30"/>
      <c r="W19" s="30">
        <f t="shared" si="0"/>
        <v>16954260.509999998</v>
      </c>
    </row>
    <row r="20" spans="1:23" x14ac:dyDescent="0.25">
      <c r="A20" s="5">
        <v>44835</v>
      </c>
      <c r="B20" s="5"/>
      <c r="C20" s="30">
        <v>144018324.82999998</v>
      </c>
      <c r="D20" s="30">
        <v>838153.47</v>
      </c>
      <c r="E20" s="30">
        <v>131056880.72</v>
      </c>
      <c r="F20" s="30">
        <v>12123290.639999997</v>
      </c>
      <c r="G20" s="38"/>
      <c r="H20" s="31">
        <v>1050</v>
      </c>
      <c r="I20" s="30">
        <v>372.45132534562202</v>
      </c>
      <c r="J20" s="30"/>
      <c r="K20" s="38"/>
      <c r="L20" s="37">
        <v>67</v>
      </c>
      <c r="M20" s="30">
        <v>18162507</v>
      </c>
      <c r="N20" s="30">
        <v>168435</v>
      </c>
      <c r="O20" s="30">
        <v>3566808.05</v>
      </c>
      <c r="P20" s="38"/>
      <c r="Q20" s="35">
        <v>16</v>
      </c>
      <c r="R20" s="32">
        <v>331227</v>
      </c>
      <c r="S20" s="32"/>
      <c r="T20" s="32">
        <v>5570153.8899999997</v>
      </c>
      <c r="U20" s="30">
        <v>511042.62000000005</v>
      </c>
      <c r="V20" s="30"/>
      <c r="W20" s="30">
        <f t="shared" si="0"/>
        <v>16532368.309999997</v>
      </c>
    </row>
    <row r="21" spans="1:23" x14ac:dyDescent="0.25">
      <c r="A21" s="5">
        <v>44866</v>
      </c>
      <c r="B21" s="5"/>
      <c r="C21" s="30">
        <v>145008097.16</v>
      </c>
      <c r="D21" s="30">
        <v>892617.75</v>
      </c>
      <c r="E21" s="30">
        <v>132134824.73999999</v>
      </c>
      <c r="F21" s="30">
        <v>11980654.689999999</v>
      </c>
      <c r="G21" s="38"/>
      <c r="H21" s="31">
        <v>1050</v>
      </c>
      <c r="I21" s="30">
        <v>380</v>
      </c>
      <c r="J21" s="30"/>
      <c r="K21" s="38"/>
      <c r="L21" s="37">
        <v>67</v>
      </c>
      <c r="M21" s="30">
        <v>18703073</v>
      </c>
      <c r="N21" s="30">
        <v>358690</v>
      </c>
      <c r="O21" s="30">
        <v>4407648.82</v>
      </c>
      <c r="P21" s="38"/>
      <c r="Q21" s="35">
        <v>16</v>
      </c>
      <c r="R21" s="32">
        <v>339272</v>
      </c>
      <c r="S21" s="32"/>
      <c r="T21" s="32">
        <v>5866550.7300000004</v>
      </c>
      <c r="U21" s="30">
        <v>560224.39</v>
      </c>
      <c r="V21" s="30"/>
      <c r="W21" s="30">
        <f t="shared" si="0"/>
        <v>17287799.899999999</v>
      </c>
    </row>
    <row r="22" spans="1:23" x14ac:dyDescent="0.25">
      <c r="A22" s="5">
        <v>44896</v>
      </c>
      <c r="B22" s="5"/>
      <c r="C22" s="30">
        <v>143895780.89999998</v>
      </c>
      <c r="D22" s="30">
        <v>818573.04</v>
      </c>
      <c r="E22" s="30">
        <v>130890622.73999999</v>
      </c>
      <c r="F22" s="30">
        <v>12186585.120000003</v>
      </c>
      <c r="G22" s="38"/>
      <c r="H22" s="31">
        <v>1050</v>
      </c>
      <c r="I22" s="30">
        <v>374.39585622119824</v>
      </c>
      <c r="J22" s="30"/>
      <c r="K22" s="38"/>
      <c r="L22" s="37">
        <v>67</v>
      </c>
      <c r="M22" s="30">
        <v>17074699</v>
      </c>
      <c r="N22" s="30">
        <v>258885</v>
      </c>
      <c r="O22" s="30">
        <v>4536864.76</v>
      </c>
      <c r="P22" s="38"/>
      <c r="Q22" s="35">
        <v>16</v>
      </c>
      <c r="R22" s="32">
        <v>338823</v>
      </c>
      <c r="S22" s="32"/>
      <c r="T22" s="32">
        <v>4457009.67</v>
      </c>
      <c r="U22" s="30">
        <v>739713.39</v>
      </c>
      <c r="V22" s="30"/>
      <c r="W22" s="30">
        <f t="shared" si="0"/>
        <v>17801986.270000003</v>
      </c>
    </row>
    <row r="23" spans="1:23" x14ac:dyDescent="0.25">
      <c r="A23" s="5">
        <v>44927</v>
      </c>
      <c r="B23" s="5"/>
      <c r="C23" s="30">
        <v>149198327.08999997</v>
      </c>
      <c r="D23" s="30">
        <v>937552.34</v>
      </c>
      <c r="E23" s="30">
        <v>135335692.15000001</v>
      </c>
      <c r="F23" s="30">
        <v>12925082.599999998</v>
      </c>
      <c r="G23" s="38"/>
      <c r="H23" s="31">
        <v>1050</v>
      </c>
      <c r="I23" s="30">
        <v>397.08395084485403</v>
      </c>
      <c r="J23" s="30"/>
      <c r="K23" s="38"/>
      <c r="L23" s="37">
        <v>67</v>
      </c>
      <c r="M23" s="30">
        <v>18010375</v>
      </c>
      <c r="N23" s="30">
        <v>442895</v>
      </c>
      <c r="O23" s="30">
        <v>3768160.6100000003</v>
      </c>
      <c r="P23" s="38"/>
      <c r="Q23" s="35">
        <v>16</v>
      </c>
      <c r="R23" s="32">
        <v>339818</v>
      </c>
      <c r="S23" s="32"/>
      <c r="T23" s="32">
        <v>4435504.68</v>
      </c>
      <c r="U23" s="30">
        <v>388418.52999999991</v>
      </c>
      <c r="V23" s="30"/>
      <c r="W23" s="30">
        <f t="shared" si="0"/>
        <v>17421479.739999998</v>
      </c>
    </row>
    <row r="24" spans="1:23" x14ac:dyDescent="0.25">
      <c r="A24" s="5">
        <v>44958</v>
      </c>
      <c r="B24" s="5"/>
      <c r="C24" s="30">
        <v>142697243.00000003</v>
      </c>
      <c r="D24" s="30">
        <v>834879.38</v>
      </c>
      <c r="E24" s="30">
        <v>129517850.79000001</v>
      </c>
      <c r="F24" s="30">
        <v>12344512.829999998</v>
      </c>
      <c r="G24" s="38"/>
      <c r="H24" s="31">
        <v>1050</v>
      </c>
      <c r="I24" s="30">
        <v>419.88138877551012</v>
      </c>
      <c r="J24" s="30"/>
      <c r="K24" s="38"/>
      <c r="L24" s="37">
        <v>67</v>
      </c>
      <c r="M24" s="30">
        <v>16334905</v>
      </c>
      <c r="N24" s="30">
        <v>378995</v>
      </c>
      <c r="O24" s="30">
        <v>3588306.35</v>
      </c>
      <c r="P24" s="38"/>
      <c r="Q24" s="35">
        <v>16</v>
      </c>
      <c r="R24" s="32">
        <v>348270</v>
      </c>
      <c r="S24" s="32"/>
      <c r="T24" s="32">
        <v>3024196.78</v>
      </c>
      <c r="U24" s="30">
        <v>124588.4599999999</v>
      </c>
      <c r="V24" s="30"/>
      <c r="W24" s="30">
        <f t="shared" si="0"/>
        <v>16405677.639999997</v>
      </c>
    </row>
    <row r="25" spans="1:23" x14ac:dyDescent="0.25">
      <c r="A25" s="5">
        <v>44986</v>
      </c>
      <c r="B25" s="5"/>
      <c r="C25" s="30">
        <v>162804186.05000001</v>
      </c>
      <c r="D25" s="30">
        <v>951611.21</v>
      </c>
      <c r="E25" s="30">
        <v>148208406.62</v>
      </c>
      <c r="F25" s="30">
        <v>13644168.220000001</v>
      </c>
      <c r="G25" s="38"/>
      <c r="H25" s="31">
        <v>1050</v>
      </c>
      <c r="I25" s="30">
        <v>419</v>
      </c>
      <c r="J25" s="30"/>
      <c r="K25" s="38"/>
      <c r="L25" s="37">
        <v>67</v>
      </c>
      <c r="M25" s="30">
        <v>19435093</v>
      </c>
      <c r="N25" s="30">
        <v>150630</v>
      </c>
      <c r="O25" s="30">
        <v>5263971.790000001</v>
      </c>
      <c r="P25" s="38"/>
      <c r="Q25" s="35">
        <v>16</v>
      </c>
      <c r="R25" s="32">
        <v>361346</v>
      </c>
      <c r="S25" s="32"/>
      <c r="T25" s="32">
        <v>3021481.3699999996</v>
      </c>
      <c r="U25" s="30">
        <v>309447.50999999989</v>
      </c>
      <c r="V25" s="30"/>
      <c r="W25" s="30">
        <f t="shared" si="0"/>
        <v>19578933.520000003</v>
      </c>
    </row>
    <row r="26" spans="1:23" ht="15.75" thickBot="1" x14ac:dyDescent="0.3">
      <c r="A26" s="5" t="s">
        <v>28</v>
      </c>
      <c r="B26" s="5"/>
      <c r="C26" s="39">
        <f>SUM(C14:C25)</f>
        <v>1761463629.0699997</v>
      </c>
      <c r="D26" s="39">
        <f>SUM(D14:D25)</f>
        <v>10530843.48</v>
      </c>
      <c r="E26" s="39">
        <f>SUM(E14:E25)</f>
        <v>1601169941.8800001</v>
      </c>
      <c r="F26" s="39">
        <f>SUM(F14:F25)</f>
        <v>149762843.72999999</v>
      </c>
      <c r="G26" s="39"/>
      <c r="H26" s="40">
        <v>1050</v>
      </c>
      <c r="I26" s="39">
        <f>F26/H26/365</f>
        <v>390.77062943248524</v>
      </c>
      <c r="J26" s="42"/>
      <c r="K26" s="30"/>
      <c r="L26" s="43">
        <v>67</v>
      </c>
      <c r="M26" s="39">
        <f>SUM(M14:M25)</f>
        <v>214281554</v>
      </c>
      <c r="N26" s="39">
        <f>SUM(N14:N25)</f>
        <v>2746820</v>
      </c>
      <c r="O26" s="39">
        <f>SUM(O14:O25)</f>
        <v>47350255.420000002</v>
      </c>
      <c r="P26" s="44"/>
      <c r="Q26" s="45">
        <v>16</v>
      </c>
      <c r="R26" s="39">
        <f>SUM(R14:R25)</f>
        <v>4053136</v>
      </c>
      <c r="S26" s="44"/>
      <c r="T26" s="39">
        <f>SUM(T14:T25)</f>
        <v>44080774.93</v>
      </c>
      <c r="U26" s="39">
        <f>SUM(U14:U25)</f>
        <v>4838682.46</v>
      </c>
      <c r="V26" s="44"/>
      <c r="W26" s="39">
        <f>SUM(W14:W25)</f>
        <v>206004917.61000004</v>
      </c>
    </row>
    <row r="27" spans="1:23" ht="10.5" customHeight="1" thickTop="1" x14ac:dyDescent="0.25">
      <c r="A27" s="5"/>
      <c r="B27" s="5"/>
      <c r="C27" s="46"/>
      <c r="D27" s="46"/>
      <c r="E27" s="46"/>
      <c r="F27" s="46"/>
      <c r="G27" s="46"/>
      <c r="H27" s="46"/>
      <c r="I27" s="35"/>
      <c r="J27" s="32"/>
      <c r="K27" s="32"/>
      <c r="L27" s="47"/>
      <c r="M27" s="46"/>
      <c r="N27" s="46"/>
      <c r="O27" s="46"/>
      <c r="P27" s="46"/>
      <c r="Q27" s="47"/>
      <c r="R27" s="46"/>
      <c r="S27" s="46"/>
      <c r="T27" s="46"/>
      <c r="U27" s="36"/>
      <c r="V27" s="36"/>
      <c r="W27" s="36"/>
    </row>
    <row r="28" spans="1:23" s="52" customFormat="1" x14ac:dyDescent="0.25">
      <c r="A28" s="48"/>
      <c r="B28" s="48"/>
      <c r="C28" s="49"/>
      <c r="D28" s="50">
        <f>D26/$C$26</f>
        <v>5.9784620620069069E-3</v>
      </c>
      <c r="E28" s="50">
        <f>E26/$C$26</f>
        <v>0.90899971787971012</v>
      </c>
      <c r="F28" s="50">
        <f>F26/C26</f>
        <v>8.5021820069637377E-2</v>
      </c>
      <c r="G28" s="50"/>
      <c r="H28" s="49"/>
      <c r="I28" s="51"/>
      <c r="J28" s="51"/>
      <c r="K28" s="51"/>
      <c r="L28" s="49"/>
      <c r="M28" s="49"/>
      <c r="N28" s="49"/>
      <c r="O28" s="49">
        <f>O26/$M$26</f>
        <v>0.22097214872727683</v>
      </c>
      <c r="P28" s="49"/>
      <c r="Q28" s="49"/>
      <c r="R28" s="49"/>
      <c r="S28" s="49"/>
      <c r="T28" s="49"/>
      <c r="U28" s="51"/>
      <c r="V28" s="51"/>
      <c r="W28" s="51"/>
    </row>
    <row r="29" spans="1:23" s="52" customFormat="1" x14ac:dyDescent="0.25">
      <c r="A29" s="48"/>
      <c r="B29" s="48"/>
      <c r="C29" s="49"/>
      <c r="D29" s="49"/>
      <c r="E29" s="49"/>
      <c r="F29" s="49"/>
      <c r="G29" s="49"/>
      <c r="H29" s="49"/>
      <c r="I29" s="51"/>
      <c r="J29" s="51"/>
      <c r="K29" s="51"/>
      <c r="L29" s="49"/>
      <c r="M29" s="49"/>
      <c r="N29" s="49"/>
      <c r="O29" s="49"/>
      <c r="P29" s="49"/>
      <c r="Q29" s="49"/>
      <c r="R29" s="49"/>
      <c r="S29" s="49"/>
      <c r="T29" s="49"/>
      <c r="U29" s="51"/>
      <c r="V29" s="51"/>
      <c r="W29" s="51"/>
    </row>
    <row r="30" spans="1:23" s="52" customFormat="1" x14ac:dyDescent="0.25">
      <c r="A30" s="121" t="s">
        <v>29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3"/>
    </row>
    <row r="31" spans="1:23" s="52" customFormat="1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4"/>
      <c r="V31" s="54"/>
      <c r="W31" s="54"/>
    </row>
    <row r="32" spans="1:23" s="52" customFormat="1" x14ac:dyDescent="0.25">
      <c r="A32" s="53"/>
      <c r="B32" s="53"/>
      <c r="C32" s="53"/>
      <c r="D32" s="53"/>
      <c r="E32" s="53"/>
      <c r="F32" s="53"/>
      <c r="G32" s="53"/>
      <c r="H32" s="124" t="s">
        <v>30</v>
      </c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6"/>
      <c r="U32" s="104"/>
      <c r="V32" s="104"/>
      <c r="W32" s="104"/>
    </row>
    <row r="33" spans="1:24" s="60" customFormat="1" ht="12" x14ac:dyDescent="0.2">
      <c r="A33" s="55"/>
      <c r="B33" s="55"/>
      <c r="C33" s="55"/>
      <c r="D33" s="55"/>
      <c r="E33" s="55"/>
      <c r="F33" s="55" t="s">
        <v>31</v>
      </c>
      <c r="G33" s="55"/>
      <c r="H33" s="56" t="s">
        <v>32</v>
      </c>
      <c r="I33" s="56" t="s">
        <v>33</v>
      </c>
      <c r="J33" s="56" t="s">
        <v>34</v>
      </c>
      <c r="K33" s="57"/>
      <c r="L33" s="57"/>
      <c r="M33" s="113"/>
      <c r="N33" s="113"/>
      <c r="O33" s="113"/>
      <c r="P33" s="113"/>
      <c r="Q33" s="113"/>
      <c r="R33" s="59"/>
      <c r="S33" s="59"/>
      <c r="T33" s="59"/>
      <c r="U33" s="55"/>
      <c r="V33" s="55"/>
      <c r="W33" s="55"/>
    </row>
    <row r="34" spans="1:24" s="60" customFormat="1" ht="12.75" customHeight="1" x14ac:dyDescent="0.2">
      <c r="A34" s="55"/>
      <c r="B34" s="55"/>
      <c r="C34" s="18" t="s">
        <v>35</v>
      </c>
      <c r="D34" s="55" t="s">
        <v>11</v>
      </c>
      <c r="E34" s="55" t="s">
        <v>36</v>
      </c>
      <c r="F34" s="55" t="s">
        <v>37</v>
      </c>
      <c r="G34" s="55"/>
      <c r="H34" s="56" t="s">
        <v>38</v>
      </c>
      <c r="I34" s="56" t="s">
        <v>39</v>
      </c>
      <c r="J34" s="56" t="s">
        <v>40</v>
      </c>
      <c r="K34" s="57"/>
      <c r="L34" s="116" t="s">
        <v>41</v>
      </c>
      <c r="M34" s="116"/>
      <c r="N34" s="116"/>
      <c r="O34" s="116"/>
      <c r="P34" s="116"/>
      <c r="Q34" s="116"/>
      <c r="R34" s="116"/>
      <c r="S34" s="116"/>
      <c r="T34" s="116"/>
      <c r="U34" s="117"/>
      <c r="V34" s="117"/>
      <c r="W34" s="117"/>
    </row>
    <row r="35" spans="1:24" s="60" customFormat="1" ht="12" x14ac:dyDescent="0.2">
      <c r="A35" s="55"/>
      <c r="B35" s="55"/>
      <c r="C35" s="27" t="s">
        <v>42</v>
      </c>
      <c r="D35" s="61" t="s">
        <v>43</v>
      </c>
      <c r="E35" s="61" t="s">
        <v>44</v>
      </c>
      <c r="F35" s="61" t="s">
        <v>45</v>
      </c>
      <c r="G35" s="59"/>
      <c r="H35" s="62" t="s">
        <v>46</v>
      </c>
      <c r="I35" s="62" t="s">
        <v>40</v>
      </c>
      <c r="J35" s="62" t="s">
        <v>47</v>
      </c>
      <c r="K35" s="112"/>
      <c r="L35" s="112" t="s">
        <v>48</v>
      </c>
      <c r="M35" s="112" t="s">
        <v>49</v>
      </c>
      <c r="N35" s="112" t="s">
        <v>50</v>
      </c>
      <c r="O35" s="112" t="s">
        <v>51</v>
      </c>
      <c r="P35" s="112"/>
      <c r="Q35" s="112" t="s">
        <v>52</v>
      </c>
      <c r="R35" s="65" t="s">
        <v>53</v>
      </c>
      <c r="S35" s="65"/>
      <c r="T35" s="65" t="s">
        <v>54</v>
      </c>
      <c r="U35" s="59"/>
      <c r="V35" s="59"/>
      <c r="W35" s="59"/>
    </row>
    <row r="36" spans="1:24" s="52" customFormat="1" x14ac:dyDescent="0.25">
      <c r="A36" s="5">
        <v>44652</v>
      </c>
      <c r="B36" s="48"/>
      <c r="C36" s="42">
        <f t="shared" ref="C36:C46" si="1">(F14*0.7)+(O14+R14+U14)*0.9</f>
        <v>13370621.249</v>
      </c>
      <c r="D36" s="44">
        <f t="shared" ref="D36:D46" si="2">(F14*0.3)+(O14+R14+U14)*0.1</f>
        <v>4369739.2410000004</v>
      </c>
      <c r="E36" s="34">
        <v>31973.219999999998</v>
      </c>
      <c r="F36" s="34">
        <v>0</v>
      </c>
      <c r="G36" s="54"/>
      <c r="H36" s="42">
        <f t="shared" ref="H36:H47" si="3">F14*0.3*0.8+(O14+R14+U14)*0.1*0.8+((E36+F36)*0.8)</f>
        <v>3521369.9688000004</v>
      </c>
      <c r="I36" s="42">
        <f t="shared" ref="I36:I47" si="4">(F14*0.3*0.05+(O14+R14+U14)*0.1*0.05+((E36+F36)*0.05))</f>
        <v>220085.62305000002</v>
      </c>
      <c r="J36" s="42">
        <f t="shared" ref="J36:J47" si="5">F14*0.3*0.05+(O14+R14+U14)*0.1*0.05+((E36+F36)*0.05)</f>
        <v>220085.62305000002</v>
      </c>
      <c r="K36" s="34"/>
      <c r="L36" s="42">
        <f>(F14*0.3*0.1+(O14+R14+U14)*0.1*0.1)*314848/905359+((E36+F36)*0.1*314848/905359)</f>
        <v>153074.12473073424</v>
      </c>
      <c r="M36" s="42">
        <f>(F14*0.3*0.1+(O14+R14+U14)*0.1*0.1)*53324/905359+((E36+F36)*0.1*53324/905359)</f>
        <v>25925.28657365355</v>
      </c>
      <c r="N36" s="42">
        <f>(F14*0.3*0.1+(O14+R14+U14)*0.1*0.1)*49532/905359+((E36+F36)*0.1*49532/905359)</f>
        <v>24081.676066428015</v>
      </c>
      <c r="O36" s="42">
        <f>(F14*0.3*0.1+(O14+R14+U14)*0.1*0.1)*161130/905359+((E36+F36)*0.1*161130/905359)</f>
        <v>78338.86103092035</v>
      </c>
      <c r="P36" s="42"/>
      <c r="Q36" s="42">
        <f>(F14*0.3*0.1+(O14+R14+U14)*0.1*0.1)*235509/905359+((E36+F36)*0.1*235509/905359)</f>
        <v>114500.75605120721</v>
      </c>
      <c r="R36" s="42">
        <f>(F14*0.3*0.1+(O14+R14+U14)*0.1*0.1)*29714/905359+((E36+F36)*0.1*29714/905359)</f>
        <v>14446.477481988251</v>
      </c>
      <c r="S36" s="42"/>
      <c r="T36" s="42">
        <f>(F14*0.3*0.1+(O14+R14+U14)*0.1*0.1)*61302/905359+((E36+F36)*0.1*61302/905359)</f>
        <v>29804.064165068448</v>
      </c>
      <c r="U36" s="30"/>
      <c r="V36" s="30"/>
      <c r="W36" s="44"/>
    </row>
    <row r="37" spans="1:24" s="52" customFormat="1" x14ac:dyDescent="0.25">
      <c r="A37" s="5">
        <v>44682</v>
      </c>
      <c r="B37" s="48"/>
      <c r="C37" s="42">
        <f t="shared" si="1"/>
        <v>11986484.657</v>
      </c>
      <c r="D37" s="44">
        <f t="shared" si="2"/>
        <v>3938755.1129999999</v>
      </c>
      <c r="E37" s="34">
        <v>20913.18</v>
      </c>
      <c r="F37" s="34">
        <v>0</v>
      </c>
      <c r="G37" s="110"/>
      <c r="H37" s="42">
        <f t="shared" si="3"/>
        <v>3167734.6344000003</v>
      </c>
      <c r="I37" s="42">
        <f t="shared" si="4"/>
        <v>197983.41465000002</v>
      </c>
      <c r="J37" s="42">
        <f t="shared" si="5"/>
        <v>197983.41465000002</v>
      </c>
      <c r="K37" s="34"/>
      <c r="L37" s="42">
        <f t="shared" ref="L37:L47" si="6">(F15*0.3*0.1+(O15+R15+U15)*0.1*0.1)*314848/905359+((E37+F37)*0.1*314848/905359)</f>
        <v>137701.57945240111</v>
      </c>
      <c r="M37" s="42">
        <f t="shared" ref="M37:M47" si="7">(F15*0.3*0.1+(O15+R15+U15)*0.1*0.1)*53324/905359+((E37+F37)*0.1*53324/905359)</f>
        <v>23321.726746620068</v>
      </c>
      <c r="N37" s="42">
        <f t="shared" ref="N37:N47" si="8">(F15*0.3*0.1+(O15+R15+U15)*0.1*0.1)*49532/905359+((E37+F37)*0.1*49532/905359)</f>
        <v>21663.261743559848</v>
      </c>
      <c r="O37" s="42">
        <f t="shared" ref="O37:O47" si="9">(F15*0.3*0.1+(O15+R15+U15)*0.1*0.1)*161130/905359+((E37+F37)*0.1*161130/905359)</f>
        <v>70471.641862630189</v>
      </c>
      <c r="P37" s="42"/>
      <c r="Q37" s="42">
        <f t="shared" ref="Q37:Q47" si="10">(F15*0.3*0.1+(O15+R15+U15)*0.1*0.1)*235509/905359+((E37+F37)*0.1*235509/905359)</f>
        <v>103001.96055002901</v>
      </c>
      <c r="R37" s="42">
        <f t="shared" ref="R37:R47" si="11">(F15*0.3*0.1+(O15+R15+U15)*0.1*0.1)*29714/905359+((E37+F37)*0.1*29714/905359)</f>
        <v>12995.6827797815</v>
      </c>
      <c r="S37" s="42"/>
      <c r="T37" s="42">
        <f t="shared" ref="T37:T47" si="12">(F15*0.3*0.1+(O15+R15+U15)*0.1*0.1)*61302/905359+((E37+F37)*0.1*61302/905359)</f>
        <v>26810.976164978314</v>
      </c>
      <c r="U37" s="30"/>
      <c r="V37" s="30"/>
      <c r="W37" s="44"/>
    </row>
    <row r="38" spans="1:24" s="52" customFormat="1" x14ac:dyDescent="0.25">
      <c r="A38" s="5">
        <v>44713</v>
      </c>
      <c r="B38" s="48"/>
      <c r="C38" s="44">
        <f t="shared" si="1"/>
        <v>12048203.449999999</v>
      </c>
      <c r="D38" s="44">
        <f t="shared" si="2"/>
        <v>3959980.1099999994</v>
      </c>
      <c r="E38" s="30">
        <v>33707.86</v>
      </c>
      <c r="F38" s="30">
        <v>-480</v>
      </c>
      <c r="G38" s="37"/>
      <c r="H38" s="44">
        <f t="shared" si="3"/>
        <v>3194566.3760000002</v>
      </c>
      <c r="I38" s="44">
        <f t="shared" si="4"/>
        <v>199660.39850000001</v>
      </c>
      <c r="J38" s="44">
        <f t="shared" si="5"/>
        <v>199660.39850000001</v>
      </c>
      <c r="K38" s="30"/>
      <c r="L38" s="44">
        <f t="shared" si="6"/>
        <v>138867.95657176434</v>
      </c>
      <c r="M38" s="44">
        <f t="shared" si="7"/>
        <v>23519.269349758491</v>
      </c>
      <c r="N38" s="44">
        <f t="shared" si="8"/>
        <v>21846.75660926108</v>
      </c>
      <c r="O38" s="44">
        <f t="shared" si="9"/>
        <v>71068.559566547643</v>
      </c>
      <c r="P38" s="44"/>
      <c r="Q38" s="44">
        <f t="shared" si="10"/>
        <v>103874.42062283911</v>
      </c>
      <c r="R38" s="44">
        <f t="shared" si="11"/>
        <v>13105.760435427272</v>
      </c>
      <c r="S38" s="44"/>
      <c r="T38" s="44">
        <f t="shared" si="12"/>
        <v>27038.073844402054</v>
      </c>
      <c r="U38" s="30"/>
      <c r="V38" s="30"/>
      <c r="W38" s="44"/>
    </row>
    <row r="39" spans="1:24" s="52" customFormat="1" x14ac:dyDescent="0.25">
      <c r="A39" s="5">
        <v>44743</v>
      </c>
      <c r="B39" s="48"/>
      <c r="C39" s="44">
        <f t="shared" si="1"/>
        <v>12291179.304999998</v>
      </c>
      <c r="D39" s="44">
        <f t="shared" si="2"/>
        <v>4207844.9449999994</v>
      </c>
      <c r="E39" s="30">
        <v>33121.29</v>
      </c>
      <c r="F39" s="30">
        <v>50000</v>
      </c>
      <c r="G39" s="37"/>
      <c r="H39" s="44">
        <f t="shared" si="3"/>
        <v>3432772.9879999999</v>
      </c>
      <c r="I39" s="44">
        <f t="shared" si="4"/>
        <v>214548.31174999999</v>
      </c>
      <c r="J39" s="44">
        <f t="shared" si="5"/>
        <v>214548.31174999999</v>
      </c>
      <c r="K39" s="30"/>
      <c r="L39" s="44">
        <f t="shared" si="6"/>
        <v>149222.80964316698</v>
      </c>
      <c r="M39" s="44">
        <f t="shared" si="7"/>
        <v>25273.011425869736</v>
      </c>
      <c r="N39" s="44">
        <f t="shared" si="8"/>
        <v>23475.785799005698</v>
      </c>
      <c r="O39" s="44">
        <f t="shared" si="9"/>
        <v>76367.870584547112</v>
      </c>
      <c r="P39" s="44"/>
      <c r="Q39" s="44">
        <f t="shared" si="10"/>
        <v>111619.93938742697</v>
      </c>
      <c r="R39" s="44">
        <f t="shared" si="11"/>
        <v>14083.006929493162</v>
      </c>
      <c r="S39" s="44"/>
      <c r="T39" s="44">
        <f t="shared" si="12"/>
        <v>29054.199730490334</v>
      </c>
      <c r="U39" s="38"/>
      <c r="V39" s="38"/>
      <c r="W39" s="68">
        <f t="shared" ref="W39:W47" si="13">(F17*0.45*0.1+(O17+R17)*0.1*0.1)*63216/884955+((E39+F39)*0.1*63216/884955)</f>
        <v>44127.507134982443</v>
      </c>
    </row>
    <row r="40" spans="1:24" s="52" customFormat="1" x14ac:dyDescent="0.25">
      <c r="A40" s="5">
        <v>44774</v>
      </c>
      <c r="B40" s="48"/>
      <c r="C40" s="44">
        <f t="shared" si="1"/>
        <v>13448319.557</v>
      </c>
      <c r="D40" s="44">
        <f t="shared" si="2"/>
        <v>4401284.0930000003</v>
      </c>
      <c r="E40" s="30">
        <v>23540.49</v>
      </c>
      <c r="F40" s="30">
        <v>1500</v>
      </c>
      <c r="G40" s="37"/>
      <c r="H40" s="44">
        <f t="shared" si="3"/>
        <v>3541059.6664000005</v>
      </c>
      <c r="I40" s="44">
        <f t="shared" si="4"/>
        <v>221316.22915000003</v>
      </c>
      <c r="J40" s="44">
        <f t="shared" si="5"/>
        <v>221316.22915000003</v>
      </c>
      <c r="K40" s="30"/>
      <c r="L40" s="44">
        <f t="shared" si="6"/>
        <v>153930.03684818774</v>
      </c>
      <c r="M40" s="44">
        <f t="shared" si="7"/>
        <v>26070.247500040539</v>
      </c>
      <c r="N40" s="44">
        <f t="shared" si="8"/>
        <v>24216.328466956864</v>
      </c>
      <c r="O40" s="44">
        <f t="shared" si="9"/>
        <v>78776.891825098108</v>
      </c>
      <c r="P40" s="44"/>
      <c r="Q40" s="44">
        <f t="shared" si="10"/>
        <v>115140.98564411986</v>
      </c>
      <c r="R40" s="44">
        <f t="shared" si="11"/>
        <v>14527.254786141411</v>
      </c>
      <c r="S40" s="44"/>
      <c r="T40" s="44">
        <f t="shared" si="12"/>
        <v>29970.713229455505</v>
      </c>
      <c r="U40" s="38"/>
      <c r="V40" s="38"/>
      <c r="W40" s="68">
        <f t="shared" si="13"/>
        <v>45374.052163460525</v>
      </c>
      <c r="X40" s="67"/>
    </row>
    <row r="41" spans="1:24" s="52" customFormat="1" x14ac:dyDescent="0.25">
      <c r="A41" s="5">
        <v>44805</v>
      </c>
      <c r="B41" s="48"/>
      <c r="C41" s="44">
        <f t="shared" si="1"/>
        <v>12822486.863</v>
      </c>
      <c r="D41" s="44">
        <f t="shared" si="2"/>
        <v>4131773.6469999999</v>
      </c>
      <c r="E41" s="30">
        <v>37823.57</v>
      </c>
      <c r="F41" s="30">
        <v>0</v>
      </c>
      <c r="G41" s="38"/>
      <c r="H41" s="44">
        <f t="shared" si="3"/>
        <v>3335677.7736</v>
      </c>
      <c r="I41" s="44">
        <f t="shared" si="4"/>
        <v>208479.86085</v>
      </c>
      <c r="J41" s="44">
        <f t="shared" si="5"/>
        <v>208479.86085</v>
      </c>
      <c r="K41" s="30"/>
      <c r="L41" s="44">
        <f t="shared" si="6"/>
        <v>145002.07592546337</v>
      </c>
      <c r="M41" s="44">
        <f t="shared" si="7"/>
        <v>24558.1699634408</v>
      </c>
      <c r="N41" s="44">
        <f t="shared" si="8"/>
        <v>22811.778460527148</v>
      </c>
      <c r="O41" s="44">
        <f t="shared" si="9"/>
        <v>74207.822485357741</v>
      </c>
      <c r="P41" s="44"/>
      <c r="Q41" s="44">
        <f t="shared" si="10"/>
        <v>108462.794425024</v>
      </c>
      <c r="R41" s="44">
        <f t="shared" si="11"/>
        <v>13684.672235647737</v>
      </c>
      <c r="S41" s="44"/>
      <c r="T41" s="44">
        <f t="shared" si="12"/>
        <v>28232.408204539192</v>
      </c>
      <c r="U41" s="38"/>
      <c r="V41" s="38"/>
      <c r="W41" s="68">
        <f t="shared" si="13"/>
        <v>42203.903591751448</v>
      </c>
    </row>
    <row r="42" spans="1:24" s="52" customFormat="1" x14ac:dyDescent="0.25">
      <c r="A42" s="5">
        <v>44835</v>
      </c>
      <c r="B42" s="48"/>
      <c r="C42" s="44">
        <f>(F20*0.7)+(O20+R20+U20)*0.9</f>
        <v>12454473.350999996</v>
      </c>
      <c r="D42" s="44">
        <f t="shared" si="2"/>
        <v>4077894.9589999989</v>
      </c>
      <c r="E42" s="30">
        <v>50811.3</v>
      </c>
      <c r="F42" s="30">
        <v>0</v>
      </c>
      <c r="G42" s="38"/>
      <c r="H42" s="44">
        <f t="shared" si="3"/>
        <v>3302965.0071999994</v>
      </c>
      <c r="I42" s="44">
        <f t="shared" si="4"/>
        <v>206435.31294999996</v>
      </c>
      <c r="J42" s="44">
        <f t="shared" si="5"/>
        <v>206435.31294999996</v>
      </c>
      <c r="K42" s="30"/>
      <c r="L42" s="44">
        <f t="shared" si="6"/>
        <v>143580.05037047534</v>
      </c>
      <c r="M42" s="44">
        <f t="shared" si="7"/>
        <v>24317.32965099104</v>
      </c>
      <c r="N42" s="44">
        <f t="shared" si="8"/>
        <v>22588.064891472663</v>
      </c>
      <c r="O42" s="44">
        <f t="shared" si="9"/>
        <v>73480.071387446296</v>
      </c>
      <c r="P42" s="44"/>
      <c r="Q42" s="44">
        <f t="shared" si="10"/>
        <v>107399.10713328424</v>
      </c>
      <c r="R42" s="44">
        <f t="shared" si="11"/>
        <v>13550.467580255565</v>
      </c>
      <c r="S42" s="44"/>
      <c r="T42" s="44">
        <f t="shared" si="12"/>
        <v>27955.534886074802</v>
      </c>
      <c r="U42" s="38"/>
      <c r="V42" s="38"/>
      <c r="W42" s="68">
        <f t="shared" si="13"/>
        <v>42118.252228315338</v>
      </c>
    </row>
    <row r="43" spans="1:24" s="52" customFormat="1" x14ac:dyDescent="0.25">
      <c r="A43" s="5">
        <v>44866</v>
      </c>
      <c r="B43" s="48"/>
      <c r="C43" s="44">
        <f t="shared" si="1"/>
        <v>13162888.971999999</v>
      </c>
      <c r="D43" s="44">
        <f t="shared" si="2"/>
        <v>4124910.9279999998</v>
      </c>
      <c r="E43" s="30">
        <v>80692.34</v>
      </c>
      <c r="F43" s="30">
        <v>0</v>
      </c>
      <c r="G43" s="38"/>
      <c r="H43" s="44">
        <f t="shared" si="3"/>
        <v>3364482.6143999998</v>
      </c>
      <c r="I43" s="44">
        <f t="shared" si="4"/>
        <v>210280.16339999999</v>
      </c>
      <c r="J43" s="44">
        <f t="shared" si="5"/>
        <v>210280.16339999999</v>
      </c>
      <c r="K43" s="30"/>
      <c r="L43" s="44">
        <f t="shared" si="6"/>
        <v>146254.22376353072</v>
      </c>
      <c r="M43" s="44">
        <f t="shared" si="7"/>
        <v>24770.239061281987</v>
      </c>
      <c r="N43" s="44">
        <f t="shared" si="8"/>
        <v>23008.76680638023</v>
      </c>
      <c r="O43" s="44">
        <f t="shared" si="9"/>
        <v>74848.63513510552</v>
      </c>
      <c r="P43" s="44"/>
      <c r="Q43" s="44">
        <f t="shared" si="10"/>
        <v>109399.4117298676</v>
      </c>
      <c r="R43" s="44">
        <f t="shared" si="11"/>
        <v>13802.844562803484</v>
      </c>
      <c r="S43" s="44"/>
      <c r="T43" s="44">
        <f t="shared" si="12"/>
        <v>28476.205741030462</v>
      </c>
      <c r="U43" s="38"/>
      <c r="V43" s="38"/>
      <c r="W43" s="68">
        <f t="shared" si="13"/>
        <v>42479.590681844835</v>
      </c>
    </row>
    <row r="44" spans="1:24" s="52" customFormat="1" x14ac:dyDescent="0.25">
      <c r="A44" s="5">
        <v>44896</v>
      </c>
      <c r="B44" s="48"/>
      <c r="C44" s="44">
        <f t="shared" si="1"/>
        <v>13584470.618999999</v>
      </c>
      <c r="D44" s="44">
        <f t="shared" si="2"/>
        <v>4217515.6510000005</v>
      </c>
      <c r="E44" s="30">
        <v>52632.47</v>
      </c>
      <c r="F44" s="30">
        <v>0</v>
      </c>
      <c r="G44" s="38"/>
      <c r="H44" s="44">
        <f t="shared" si="3"/>
        <v>3416118.4968000008</v>
      </c>
      <c r="I44" s="44">
        <f t="shared" si="4"/>
        <v>213507.40605000005</v>
      </c>
      <c r="J44" s="44">
        <f t="shared" si="5"/>
        <v>213507.40605000005</v>
      </c>
      <c r="K44" s="30"/>
      <c r="L44" s="44">
        <f t="shared" si="6"/>
        <v>148498.8380963362</v>
      </c>
      <c r="M44" s="44">
        <f t="shared" si="7"/>
        <v>25150.396517205227</v>
      </c>
      <c r="N44" s="44">
        <f t="shared" si="8"/>
        <v>23361.890336250268</v>
      </c>
      <c r="O44" s="44">
        <f t="shared" si="9"/>
        <v>75997.363116369321</v>
      </c>
      <c r="P44" s="44"/>
      <c r="Q44" s="44">
        <f t="shared" si="10"/>
        <v>111078.40247112904</v>
      </c>
      <c r="R44" s="44">
        <f t="shared" si="11"/>
        <v>14014.681608885981</v>
      </c>
      <c r="S44" s="44"/>
      <c r="T44" s="44">
        <f t="shared" si="12"/>
        <v>28913.239953824072</v>
      </c>
      <c r="U44" s="38"/>
      <c r="V44" s="38"/>
      <c r="W44" s="68">
        <f t="shared" si="13"/>
        <v>43033.101817922965</v>
      </c>
    </row>
    <row r="45" spans="1:24" s="52" customFormat="1" x14ac:dyDescent="0.25">
      <c r="A45" s="5">
        <v>44927</v>
      </c>
      <c r="B45" s="48"/>
      <c r="C45" s="44">
        <f t="shared" si="1"/>
        <v>13094315.245999999</v>
      </c>
      <c r="D45" s="44">
        <f t="shared" si="2"/>
        <v>4327164.493999999</v>
      </c>
      <c r="E45" s="30">
        <v>40849.089999999997</v>
      </c>
      <c r="F45" s="30">
        <v>0</v>
      </c>
      <c r="G45" s="38"/>
      <c r="H45" s="44">
        <f t="shared" si="3"/>
        <v>3494410.8671999993</v>
      </c>
      <c r="I45" s="44">
        <f t="shared" si="4"/>
        <v>218400.67919999996</v>
      </c>
      <c r="J45" s="44">
        <f t="shared" si="5"/>
        <v>218400.67919999996</v>
      </c>
      <c r="K45" s="30"/>
      <c r="L45" s="44">
        <f t="shared" si="6"/>
        <v>151902.2112659433</v>
      </c>
      <c r="M45" s="44">
        <f t="shared" si="7"/>
        <v>25726.806311442859</v>
      </c>
      <c r="N45" s="44">
        <f t="shared" si="8"/>
        <v>23897.310220883428</v>
      </c>
      <c r="O45" s="44">
        <f t="shared" si="9"/>
        <v>77739.109987300049</v>
      </c>
      <c r="P45" s="44"/>
      <c r="Q45" s="44">
        <f t="shared" si="10"/>
        <v>113624.15474461025</v>
      </c>
      <c r="R45" s="44">
        <f t="shared" si="11"/>
        <v>14335.877329874224</v>
      </c>
      <c r="S45" s="44"/>
      <c r="T45" s="44">
        <f t="shared" si="12"/>
        <v>29575.888539945809</v>
      </c>
      <c r="U45" s="38"/>
      <c r="V45" s="38"/>
      <c r="W45" s="68">
        <f t="shared" si="13"/>
        <v>44774.448801705847</v>
      </c>
    </row>
    <row r="46" spans="1:24" s="52" customFormat="1" x14ac:dyDescent="0.25">
      <c r="A46" s="5">
        <v>44958</v>
      </c>
      <c r="B46" s="48"/>
      <c r="C46" s="44">
        <f t="shared" si="1"/>
        <v>12296207.309999999</v>
      </c>
      <c r="D46" s="44">
        <f t="shared" si="2"/>
        <v>4109470.3299999996</v>
      </c>
      <c r="E46" s="30">
        <v>27152.239999999998</v>
      </c>
      <c r="F46" s="30">
        <v>0</v>
      </c>
      <c r="G46" s="38"/>
      <c r="H46" s="44">
        <f t="shared" si="3"/>
        <v>3309298.0559999994</v>
      </c>
      <c r="I46" s="44">
        <f t="shared" si="4"/>
        <v>206831.12849999996</v>
      </c>
      <c r="J46" s="44">
        <f t="shared" si="5"/>
        <v>206831.12849999996</v>
      </c>
      <c r="K46" s="30"/>
      <c r="L46" s="44">
        <f t="shared" si="6"/>
        <v>143855.34831148305</v>
      </c>
      <c r="M46" s="44">
        <f t="shared" si="7"/>
        <v>24363.955284332511</v>
      </c>
      <c r="N46" s="44">
        <f t="shared" si="8"/>
        <v>22631.374862042565</v>
      </c>
      <c r="O46" s="44">
        <f t="shared" si="9"/>
        <v>73620.960823728485</v>
      </c>
      <c r="P46" s="44"/>
      <c r="Q46" s="44">
        <f t="shared" si="10"/>
        <v>107605.0323504963</v>
      </c>
      <c r="R46" s="44">
        <f t="shared" si="11"/>
        <v>13576.449015802569</v>
      </c>
      <c r="S46" s="44"/>
      <c r="T46" s="44">
        <f t="shared" si="12"/>
        <v>28009.136352114459</v>
      </c>
      <c r="U46" s="38"/>
      <c r="V46" s="38"/>
      <c r="W46" s="68">
        <f t="shared" si="13"/>
        <v>42687.904179938632</v>
      </c>
    </row>
    <row r="47" spans="1:24" s="52" customFormat="1" x14ac:dyDescent="0.25">
      <c r="A47" s="5">
        <v>44986</v>
      </c>
      <c r="B47" s="48"/>
      <c r="C47" s="44">
        <f t="shared" ref="C47" si="14">(F25*0.7)+(O25+R25+U25)*0.9</f>
        <v>14892206.524</v>
      </c>
      <c r="D47" s="44">
        <f t="shared" ref="D47" si="15">(F25*0.3)+(O25+R25+U25)*0.1</f>
        <v>4686726.9960000003</v>
      </c>
      <c r="E47" s="30">
        <v>26778.35</v>
      </c>
      <c r="F47" s="30">
        <v>0</v>
      </c>
      <c r="G47" s="38"/>
      <c r="H47" s="44">
        <f t="shared" si="3"/>
        <v>3770804.2768000006</v>
      </c>
      <c r="I47" s="44">
        <f t="shared" si="4"/>
        <v>235675.26730000004</v>
      </c>
      <c r="J47" s="44">
        <f t="shared" si="5"/>
        <v>235675.26730000004</v>
      </c>
      <c r="K47" s="30"/>
      <c r="L47" s="44">
        <f t="shared" si="6"/>
        <v>163917.0462962657</v>
      </c>
      <c r="M47" s="44">
        <f t="shared" si="7"/>
        <v>27761.690011377144</v>
      </c>
      <c r="N47" s="44">
        <f t="shared" si="8"/>
        <v>25787.48836628034</v>
      </c>
      <c r="O47" s="44">
        <f t="shared" si="9"/>
        <v>83887.951232713211</v>
      </c>
      <c r="P47" s="44"/>
      <c r="Q47" s="44">
        <f t="shared" si="10"/>
        <v>122611.35422866665</v>
      </c>
      <c r="R47" s="44">
        <f t="shared" si="11"/>
        <v>15469.78578122535</v>
      </c>
      <c r="S47" s="44"/>
      <c r="T47" s="44">
        <f t="shared" si="12"/>
        <v>31915.218683471641</v>
      </c>
      <c r="U47" s="38"/>
      <c r="V47" s="38"/>
      <c r="W47" s="68">
        <f t="shared" si="13"/>
        <v>48069.360736178445</v>
      </c>
    </row>
    <row r="48" spans="1:24" s="52" customFormat="1" ht="15.75" thickBot="1" x14ac:dyDescent="0.3">
      <c r="A48" s="5" t="s">
        <v>28</v>
      </c>
      <c r="B48" s="48"/>
      <c r="C48" s="69">
        <f>SUM(C36:C47)</f>
        <v>155451857.10299999</v>
      </c>
      <c r="D48" s="69">
        <f>SUM(D36:D47)</f>
        <v>50553060.506999992</v>
      </c>
      <c r="E48" s="69">
        <f>SUM(E36:E47)</f>
        <v>459995.39999999991</v>
      </c>
      <c r="F48" s="39">
        <f>SUM(F36:F47)</f>
        <v>51020</v>
      </c>
      <c r="G48" s="46"/>
      <c r="H48" s="69">
        <f>SUM(H36:H47)</f>
        <v>40851260.725600004</v>
      </c>
      <c r="I48" s="69">
        <f t="shared" ref="I48:R48" si="16">SUM(I36:I47)</f>
        <v>2553203.7953500003</v>
      </c>
      <c r="J48" s="69">
        <f t="shared" si="16"/>
        <v>2553203.7953500003</v>
      </c>
      <c r="K48" s="69"/>
      <c r="L48" s="69">
        <f t="shared" si="16"/>
        <v>1775806.3012757518</v>
      </c>
      <c r="M48" s="69">
        <f t="shared" si="16"/>
        <v>300758.12839601398</v>
      </c>
      <c r="N48" s="69">
        <f t="shared" si="16"/>
        <v>279370.48262904817</v>
      </c>
      <c r="O48" s="69">
        <f t="shared" si="16"/>
        <v>908805.73903776403</v>
      </c>
      <c r="P48" s="69"/>
      <c r="Q48" s="69">
        <f t="shared" si="16"/>
        <v>1328318.3193387005</v>
      </c>
      <c r="R48" s="69">
        <f t="shared" si="16"/>
        <v>167592.9605273265</v>
      </c>
      <c r="S48" s="69"/>
      <c r="T48" s="69">
        <f>SUM(T36:T47)</f>
        <v>345755.65949539503</v>
      </c>
      <c r="U48" s="46"/>
      <c r="V48" s="46"/>
      <c r="W48" s="68"/>
      <c r="X48" s="70"/>
    </row>
    <row r="49" spans="1:24" s="52" customFormat="1" ht="15.75" thickTop="1" x14ac:dyDescent="0.25">
      <c r="A49" s="48"/>
      <c r="B49" s="48"/>
      <c r="C49" s="46"/>
      <c r="D49" s="49"/>
      <c r="E49" s="49"/>
      <c r="F49" s="49"/>
      <c r="G49" s="49"/>
      <c r="H49" s="49"/>
      <c r="I49" s="49"/>
      <c r="J49" s="51"/>
      <c r="K49" s="51"/>
      <c r="L49" s="49"/>
      <c r="M49" s="49"/>
      <c r="N49" s="49"/>
      <c r="O49" s="49"/>
      <c r="P49" s="51"/>
      <c r="Q49" s="49"/>
      <c r="R49" s="51"/>
      <c r="S49" s="51"/>
      <c r="T49" s="51"/>
      <c r="U49" s="51"/>
      <c r="V49" s="51"/>
      <c r="W49" s="68"/>
    </row>
    <row r="50" spans="1:24" s="52" customFormat="1" x14ac:dyDescent="0.25">
      <c r="A50" s="48"/>
      <c r="B50" s="48"/>
      <c r="C50" s="49">
        <f>C48/W26</f>
        <v>0.75460265175462937</v>
      </c>
      <c r="D50" s="49">
        <f>D48/W26</f>
        <v>0.24539734824537027</v>
      </c>
      <c r="E50" s="49"/>
      <c r="F50" s="49"/>
      <c r="G50" s="49"/>
      <c r="H50" s="49">
        <f>H48/($D48+$E$48+$F$48)</f>
        <v>0.80000000000000027</v>
      </c>
      <c r="I50" s="49">
        <f t="shared" ref="I50:R50" si="17">I48/($D48+$E$48+$F$48)</f>
        <v>5.0000000000000017E-2</v>
      </c>
      <c r="J50" s="49">
        <f t="shared" si="17"/>
        <v>5.0000000000000017E-2</v>
      </c>
      <c r="K50" s="49"/>
      <c r="L50" s="49">
        <f t="shared" si="17"/>
        <v>3.4776039118184061E-2</v>
      </c>
      <c r="M50" s="49">
        <f t="shared" si="17"/>
        <v>5.8898182930749035E-3</v>
      </c>
      <c r="N50" s="49">
        <f t="shared" si="17"/>
        <v>5.4709789155462105E-3</v>
      </c>
      <c r="O50" s="49">
        <f t="shared" si="17"/>
        <v>1.7797359942299137E-2</v>
      </c>
      <c r="P50" s="49"/>
      <c r="Q50" s="49">
        <f t="shared" si="17"/>
        <v>2.6012775042828326E-2</v>
      </c>
      <c r="R50" s="49">
        <f t="shared" si="17"/>
        <v>3.2820129915315365E-3</v>
      </c>
      <c r="S50" s="49"/>
      <c r="T50" s="49">
        <f>T48/($D48+$E$48+$F$48)</f>
        <v>6.771015696535849E-3</v>
      </c>
      <c r="U50" s="49"/>
      <c r="V50" s="49"/>
      <c r="W50" s="68"/>
    </row>
    <row r="51" spans="1:24" s="52" customFormat="1" x14ac:dyDescent="0.25">
      <c r="A51" s="48"/>
      <c r="B51" s="48"/>
      <c r="C51" s="49"/>
      <c r="D51" s="49"/>
      <c r="E51" s="51"/>
      <c r="F51" s="46"/>
      <c r="G51" s="51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1"/>
      <c r="V51" s="51"/>
      <c r="W51" s="68"/>
      <c r="X51" s="70"/>
    </row>
    <row r="52" spans="1:24" s="52" customFormat="1" x14ac:dyDescent="0.25">
      <c r="A52" s="71" t="s">
        <v>55</v>
      </c>
      <c r="B52" s="48"/>
      <c r="C52" s="49"/>
      <c r="D52" s="49"/>
      <c r="E52" s="51"/>
      <c r="F52" s="51"/>
      <c r="G52" s="51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1"/>
      <c r="V52" s="51"/>
      <c r="W52" s="68"/>
      <c r="X52" s="70"/>
    </row>
    <row r="53" spans="1:24" s="52" customFormat="1" x14ac:dyDescent="0.25">
      <c r="A53" s="72" t="s">
        <v>78</v>
      </c>
      <c r="B53" s="73"/>
      <c r="C53" s="74"/>
      <c r="D53" s="74"/>
      <c r="E53" s="54"/>
      <c r="F53" s="54"/>
      <c r="G53" s="5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54"/>
      <c r="V53" s="54"/>
      <c r="W53" s="54"/>
      <c r="X53" s="70"/>
    </row>
    <row r="54" spans="1:24" s="52" customFormat="1" x14ac:dyDescent="0.25">
      <c r="A54" s="72" t="s">
        <v>57</v>
      </c>
      <c r="B54" s="73"/>
      <c r="C54" s="74"/>
      <c r="D54" s="74"/>
      <c r="E54" s="54"/>
      <c r="F54" s="54"/>
      <c r="G54" s="5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54"/>
      <c r="V54" s="54"/>
      <c r="W54" s="54"/>
    </row>
    <row r="55" spans="1:24" s="52" customFormat="1" x14ac:dyDescent="0.25">
      <c r="A55" s="72"/>
      <c r="B55" s="73"/>
      <c r="C55" s="74"/>
      <c r="D55" s="74"/>
      <c r="E55" s="54"/>
      <c r="F55" s="54"/>
      <c r="G55" s="54"/>
      <c r="H55" s="75"/>
      <c r="I55" s="75"/>
      <c r="J55" s="75"/>
      <c r="K55" s="74"/>
      <c r="L55" s="76"/>
      <c r="M55" s="76"/>
      <c r="N55" s="76"/>
      <c r="O55" s="76"/>
      <c r="P55" s="74"/>
      <c r="Q55" s="76"/>
      <c r="R55" s="76"/>
      <c r="S55" s="76"/>
      <c r="T55" s="76"/>
      <c r="U55" s="77"/>
      <c r="V55" s="77"/>
      <c r="W55" s="77"/>
    </row>
    <row r="56" spans="1:24" s="52" customFormat="1" ht="15" customHeight="1" x14ac:dyDescent="0.25">
      <c r="A56" s="72" t="s">
        <v>58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1:24" s="52" customFormat="1" x14ac:dyDescent="0.25">
      <c r="A57" s="54"/>
      <c r="B57" s="73"/>
      <c r="C57" s="74"/>
      <c r="D57" s="79"/>
      <c r="E57" s="54"/>
      <c r="F57" s="54"/>
      <c r="G57" s="5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54"/>
      <c r="V57" s="54"/>
      <c r="W57" s="54"/>
    </row>
    <row r="58" spans="1:24" ht="15" customHeight="1" x14ac:dyDescent="0.25">
      <c r="A58" s="80" t="s">
        <v>59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32"/>
      <c r="P58" s="32"/>
      <c r="Q58" s="32"/>
      <c r="R58" s="32"/>
      <c r="S58" s="32"/>
      <c r="T58" s="32"/>
      <c r="U58" s="36"/>
      <c r="V58" s="36"/>
      <c r="W58" s="36"/>
    </row>
    <row r="59" spans="1:24" x14ac:dyDescent="0.25">
      <c r="A59" s="80" t="s">
        <v>74</v>
      </c>
      <c r="B59" s="5"/>
      <c r="C59" s="32"/>
      <c r="D59" s="32"/>
      <c r="E59" s="32"/>
      <c r="F59" s="32"/>
      <c r="G59" s="32"/>
      <c r="H59" s="32"/>
      <c r="I59" s="35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6"/>
      <c r="V59" s="36"/>
      <c r="W59" s="36"/>
    </row>
    <row r="60" spans="1:24" x14ac:dyDescent="0.25">
      <c r="A60" s="5"/>
      <c r="B60" s="5"/>
      <c r="C60" s="32"/>
      <c r="D60" s="32"/>
      <c r="E60" s="32"/>
      <c r="F60" s="32"/>
      <c r="G60" s="32"/>
      <c r="H60" s="32"/>
      <c r="I60" s="35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6"/>
      <c r="V60" s="36"/>
      <c r="W60" s="36"/>
    </row>
    <row r="61" spans="1:24" x14ac:dyDescent="0.25">
      <c r="A61" s="80" t="s">
        <v>61</v>
      </c>
      <c r="B61" s="5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6"/>
      <c r="V61" s="36"/>
      <c r="W61" s="36"/>
    </row>
    <row r="62" spans="1:24" x14ac:dyDescent="0.25">
      <c r="A62" s="80"/>
      <c r="B62" s="5"/>
      <c r="C62" s="32"/>
      <c r="D62" s="32"/>
      <c r="E62" s="32"/>
      <c r="F62" s="32"/>
      <c r="G62" s="32"/>
      <c r="H62" s="32"/>
      <c r="I62" s="35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6"/>
      <c r="V62" s="36"/>
      <c r="W62" s="36"/>
    </row>
    <row r="63" spans="1:24" x14ac:dyDescent="0.25">
      <c r="A63" s="80" t="s">
        <v>75</v>
      </c>
      <c r="B63" s="5"/>
      <c r="C63" s="32"/>
      <c r="D63" s="32"/>
      <c r="E63" s="32"/>
      <c r="F63" s="32"/>
      <c r="G63" s="32"/>
      <c r="H63" s="32"/>
      <c r="I63" s="35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6"/>
      <c r="V63" s="36"/>
      <c r="W63" s="36"/>
    </row>
    <row r="64" spans="1:24" x14ac:dyDescent="0.25">
      <c r="A64" s="81"/>
      <c r="B64" s="82"/>
      <c r="C64" s="83"/>
      <c r="D64" s="83"/>
      <c r="E64" s="83"/>
      <c r="F64" s="83"/>
      <c r="G64" s="83"/>
      <c r="H64" s="83"/>
      <c r="I64" s="84"/>
      <c r="J64" s="83"/>
      <c r="K64" s="83"/>
      <c r="L64" s="83"/>
      <c r="M64" s="83"/>
      <c r="N64" s="83"/>
      <c r="O64" s="83"/>
    </row>
    <row r="65" spans="1:1" x14ac:dyDescent="0.25">
      <c r="A65" s="100" t="s">
        <v>71</v>
      </c>
    </row>
  </sheetData>
  <mergeCells count="13">
    <mergeCell ref="A8:W8"/>
    <mergeCell ref="A1:W1"/>
    <mergeCell ref="A2:W2"/>
    <mergeCell ref="A3:W3"/>
    <mergeCell ref="A4:W4"/>
    <mergeCell ref="A5:W5"/>
    <mergeCell ref="L34:W34"/>
    <mergeCell ref="C10:I10"/>
    <mergeCell ref="L10:O10"/>
    <mergeCell ref="Q10:R10"/>
    <mergeCell ref="T10:U10"/>
    <mergeCell ref="A30:W30"/>
    <mergeCell ref="H32:T32"/>
  </mergeCells>
  <hyperlinks>
    <hyperlink ref="A4" r:id="rId1" xr:uid="{F414C7F4-B356-4CFB-BC34-31319BD69825}"/>
  </hyperlinks>
  <printOptions horizontalCentered="1" verticalCentered="1"/>
  <pageMargins left="0" right="0" top="0.25" bottom="0.25" header="0.3" footer="0.3"/>
  <pageSetup scale="51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03E19-67D8-4984-B771-096FA64EE9A7}">
  <sheetPr>
    <pageSetUpPr fitToPage="1"/>
  </sheetPr>
  <dimension ref="A1:X65"/>
  <sheetViews>
    <sheetView zoomScaleNormal="100" workbookViewId="0">
      <selection activeCell="I20" sqref="I20"/>
    </sheetView>
  </sheetViews>
  <sheetFormatPr defaultRowHeight="15" x14ac:dyDescent="0.25"/>
  <cols>
    <col min="1" max="1" width="9.28515625" style="86" customWidth="1"/>
    <col min="2" max="2" width="1.7109375" style="86" customWidth="1"/>
    <col min="3" max="3" width="15.5703125" style="85" bestFit="1" customWidth="1"/>
    <col min="4" max="4" width="14.28515625" style="85" bestFit="1" customWidth="1"/>
    <col min="5" max="5" width="15.5703125" style="85" bestFit="1" customWidth="1"/>
    <col min="6" max="6" width="16.28515625" style="85" bestFit="1" customWidth="1"/>
    <col min="7" max="7" width="1.85546875" style="85" customWidth="1"/>
    <col min="8" max="8" width="15" style="85" customWidth="1"/>
    <col min="9" max="9" width="11.7109375" style="67" customWidth="1"/>
    <col min="10" max="10" width="12.140625" style="85" bestFit="1" customWidth="1"/>
    <col min="11" max="11" width="1.140625" style="85" customWidth="1"/>
    <col min="12" max="12" width="11.7109375" style="85" customWidth="1"/>
    <col min="13" max="13" width="17.7109375" style="85" customWidth="1"/>
    <col min="14" max="14" width="11.5703125" style="85" customWidth="1"/>
    <col min="15" max="15" width="12.42578125" style="85" customWidth="1"/>
    <col min="16" max="16" width="3.42578125" style="85" customWidth="1"/>
    <col min="17" max="17" width="15" style="85" customWidth="1"/>
    <col min="18" max="18" width="12.140625" style="85" customWidth="1"/>
    <col min="19" max="19" width="3.42578125" style="85" customWidth="1"/>
    <col min="20" max="20" width="13.5703125" style="85" customWidth="1"/>
    <col min="21" max="21" width="13.42578125" style="1" customWidth="1"/>
    <col min="22" max="22" width="3.42578125" style="1" customWidth="1"/>
    <col min="23" max="23" width="14.42578125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3" ht="18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</row>
    <row r="2" spans="1:23" ht="15.75" x14ac:dyDescent="0.25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</row>
    <row r="3" spans="1:23" s="2" customFormat="1" ht="15.75" x14ac:dyDescent="0.25">
      <c r="A3" s="128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</row>
    <row r="4" spans="1:23" s="2" customFormat="1" ht="14.25" customHeight="1" x14ac:dyDescent="0.25">
      <c r="A4" s="129" t="s">
        <v>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</row>
    <row r="5" spans="1:23" s="2" customFormat="1" x14ac:dyDescent="0.25">
      <c r="A5" s="131" t="s">
        <v>4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</row>
    <row r="6" spans="1:23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</row>
    <row r="7" spans="1:23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</row>
    <row r="8" spans="1:23" s="9" customFormat="1" ht="14.25" customHeight="1" x14ac:dyDescent="0.25">
      <c r="A8" s="121" t="s">
        <v>77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3"/>
    </row>
    <row r="9" spans="1:23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4"/>
      <c r="V9" s="4"/>
      <c r="W9" s="4"/>
    </row>
    <row r="10" spans="1:23" s="15" customFormat="1" ht="12.75" x14ac:dyDescent="0.2">
      <c r="A10" s="10"/>
      <c r="B10" s="10"/>
      <c r="C10" s="118" t="s">
        <v>6</v>
      </c>
      <c r="D10" s="119"/>
      <c r="E10" s="119"/>
      <c r="F10" s="119"/>
      <c r="G10" s="119"/>
      <c r="H10" s="119"/>
      <c r="I10" s="119"/>
      <c r="J10" s="11"/>
      <c r="K10" s="12"/>
      <c r="L10" s="118" t="s">
        <v>7</v>
      </c>
      <c r="M10" s="119"/>
      <c r="N10" s="119"/>
      <c r="O10" s="120"/>
      <c r="P10" s="13"/>
      <c r="Q10" s="118" t="s">
        <v>8</v>
      </c>
      <c r="R10" s="120"/>
      <c r="S10" s="102"/>
      <c r="T10" s="118" t="s">
        <v>72</v>
      </c>
      <c r="U10" s="120"/>
      <c r="V10" s="102"/>
      <c r="W10" s="14"/>
    </row>
    <row r="11" spans="1:23" s="21" customFormat="1" ht="12" x14ac:dyDescent="0.2">
      <c r="A11" s="16"/>
      <c r="B11" s="16"/>
      <c r="C11" s="17"/>
      <c r="D11" s="18" t="s">
        <v>9</v>
      </c>
      <c r="E11" s="17"/>
      <c r="F11" s="17"/>
      <c r="G11" s="17"/>
      <c r="H11" s="19" t="s">
        <v>10</v>
      </c>
      <c r="I11" s="17"/>
      <c r="J11" s="17"/>
      <c r="K11" s="17"/>
      <c r="L11" s="18" t="s">
        <v>11</v>
      </c>
      <c r="M11" s="18"/>
      <c r="N11" s="18" t="s">
        <v>9</v>
      </c>
      <c r="O11" s="18" t="s">
        <v>11</v>
      </c>
      <c r="P11" s="20"/>
      <c r="Q11" s="18" t="s">
        <v>11</v>
      </c>
      <c r="R11" s="18" t="s">
        <v>11</v>
      </c>
      <c r="S11" s="18"/>
      <c r="T11" s="18" t="s">
        <v>80</v>
      </c>
      <c r="U11" s="24" t="s">
        <v>82</v>
      </c>
      <c r="V11" s="20"/>
      <c r="W11" s="18" t="s">
        <v>11</v>
      </c>
    </row>
    <row r="12" spans="1:23" s="25" customFormat="1" ht="12" x14ac:dyDescent="0.2">
      <c r="A12" s="22"/>
      <c r="B12" s="22"/>
      <c r="C12" s="18" t="s">
        <v>12</v>
      </c>
      <c r="D12" s="23" t="s">
        <v>13</v>
      </c>
      <c r="E12" s="18" t="s">
        <v>12</v>
      </c>
      <c r="F12" s="18" t="s">
        <v>14</v>
      </c>
      <c r="G12" s="18"/>
      <c r="H12" s="19" t="s">
        <v>15</v>
      </c>
      <c r="I12" s="18" t="s">
        <v>16</v>
      </c>
      <c r="J12" s="18"/>
      <c r="K12" s="18"/>
      <c r="L12" s="24" t="s">
        <v>10</v>
      </c>
      <c r="M12" s="18" t="s">
        <v>17</v>
      </c>
      <c r="N12" s="18" t="s">
        <v>17</v>
      </c>
      <c r="O12" s="18" t="s">
        <v>17</v>
      </c>
      <c r="P12" s="24"/>
      <c r="Q12" s="24" t="s">
        <v>10</v>
      </c>
      <c r="R12" s="18" t="s">
        <v>18</v>
      </c>
      <c r="S12" s="18"/>
      <c r="T12" s="18" t="s">
        <v>81</v>
      </c>
      <c r="U12" s="18" t="s">
        <v>81</v>
      </c>
      <c r="V12" s="18"/>
      <c r="W12" s="18" t="s">
        <v>11</v>
      </c>
    </row>
    <row r="13" spans="1:23" s="25" customFormat="1" ht="12" x14ac:dyDescent="0.2">
      <c r="A13" s="26" t="s">
        <v>19</v>
      </c>
      <c r="B13" s="26"/>
      <c r="C13" s="27" t="s">
        <v>20</v>
      </c>
      <c r="D13" s="27" t="s">
        <v>12</v>
      </c>
      <c r="E13" s="27" t="s">
        <v>21</v>
      </c>
      <c r="F13" s="27" t="s">
        <v>22</v>
      </c>
      <c r="G13" s="27"/>
      <c r="H13" s="28" t="s">
        <v>23</v>
      </c>
      <c r="I13" s="27" t="s">
        <v>24</v>
      </c>
      <c r="J13" s="23"/>
      <c r="K13" s="23"/>
      <c r="L13" s="27" t="s">
        <v>25</v>
      </c>
      <c r="M13" s="27" t="s">
        <v>26</v>
      </c>
      <c r="N13" s="27" t="s">
        <v>12</v>
      </c>
      <c r="O13" s="27" t="s">
        <v>22</v>
      </c>
      <c r="P13" s="29"/>
      <c r="Q13" s="27" t="s">
        <v>8</v>
      </c>
      <c r="R13" s="27" t="s">
        <v>22</v>
      </c>
      <c r="S13" s="23"/>
      <c r="T13" s="27" t="s">
        <v>79</v>
      </c>
      <c r="U13" s="27" t="s">
        <v>22</v>
      </c>
      <c r="V13" s="23"/>
      <c r="W13" s="27" t="s">
        <v>27</v>
      </c>
    </row>
    <row r="14" spans="1:23" x14ac:dyDescent="0.25">
      <c r="A14" s="5">
        <v>44287</v>
      </c>
      <c r="B14" s="5"/>
      <c r="C14" s="30">
        <v>120470612.29000001</v>
      </c>
      <c r="D14" s="30">
        <v>348316.06</v>
      </c>
      <c r="E14" s="30">
        <v>109431033.68000001</v>
      </c>
      <c r="F14" s="30">
        <v>10691262.550000001</v>
      </c>
      <c r="G14" s="30"/>
      <c r="H14" s="31">
        <v>858</v>
      </c>
      <c r="I14" s="30">
        <v>415</v>
      </c>
      <c r="J14" s="30"/>
      <c r="K14" s="32"/>
      <c r="L14" s="33">
        <v>59</v>
      </c>
      <c r="M14" s="34">
        <v>13647880</v>
      </c>
      <c r="N14" s="34">
        <v>66030</v>
      </c>
      <c r="O14" s="34">
        <v>2820058.85</v>
      </c>
      <c r="P14" s="32"/>
      <c r="Q14" s="35">
        <v>0</v>
      </c>
      <c r="R14" s="32">
        <v>0</v>
      </c>
      <c r="S14" s="32"/>
      <c r="T14" s="32">
        <v>5669405.1500000013</v>
      </c>
      <c r="U14" s="30">
        <v>644864.80000000005</v>
      </c>
      <c r="V14" s="30"/>
      <c r="W14" s="30">
        <f t="shared" ref="W14:W25" si="0">F14+O14+R14+U14</f>
        <v>14156186.200000001</v>
      </c>
    </row>
    <row r="15" spans="1:23" x14ac:dyDescent="0.25">
      <c r="A15" s="5">
        <v>44317</v>
      </c>
      <c r="B15" s="5"/>
      <c r="C15" s="30">
        <v>124620351.48</v>
      </c>
      <c r="D15" s="30">
        <v>469926.54</v>
      </c>
      <c r="E15" s="30">
        <v>113261832.19</v>
      </c>
      <c r="F15" s="30">
        <v>10888592.75</v>
      </c>
      <c r="G15" s="30"/>
      <c r="H15" s="31">
        <v>858</v>
      </c>
      <c r="I15" s="30">
        <v>409</v>
      </c>
      <c r="J15" s="30"/>
      <c r="K15" s="37"/>
      <c r="L15" s="37">
        <v>59</v>
      </c>
      <c r="M15" s="30">
        <v>14632946</v>
      </c>
      <c r="N15" s="30">
        <v>55950</v>
      </c>
      <c r="O15" s="30">
        <v>3348619.9</v>
      </c>
      <c r="P15" s="37"/>
      <c r="Q15" s="35">
        <v>0</v>
      </c>
      <c r="R15" s="32">
        <v>0</v>
      </c>
      <c r="S15" s="32"/>
      <c r="T15" s="32">
        <v>6569165.5100000007</v>
      </c>
      <c r="U15" s="30">
        <v>641102.44999999995</v>
      </c>
      <c r="V15" s="30"/>
      <c r="W15" s="30">
        <f t="shared" si="0"/>
        <v>14878315.1</v>
      </c>
    </row>
    <row r="16" spans="1:23" x14ac:dyDescent="0.25">
      <c r="A16" s="5">
        <v>44348</v>
      </c>
      <c r="B16" s="5"/>
      <c r="C16" s="30">
        <v>121770149.91</v>
      </c>
      <c r="D16" s="30">
        <v>547700.89</v>
      </c>
      <c r="E16" s="30">
        <v>110639017.41</v>
      </c>
      <c r="F16" s="30">
        <v>10583431.609999999</v>
      </c>
      <c r="G16" s="30"/>
      <c r="H16" s="31">
        <v>1092</v>
      </c>
      <c r="I16" s="30">
        <v>323</v>
      </c>
      <c r="J16" s="30"/>
      <c r="K16" s="37"/>
      <c r="L16" s="37">
        <v>59</v>
      </c>
      <c r="M16" s="30">
        <v>13975702</v>
      </c>
      <c r="N16" s="30">
        <v>71890</v>
      </c>
      <c r="O16" s="30">
        <v>2916259.26</v>
      </c>
      <c r="P16" s="37"/>
      <c r="Q16" s="35">
        <v>0</v>
      </c>
      <c r="R16" s="32">
        <v>0</v>
      </c>
      <c r="S16" s="32"/>
      <c r="T16" s="32">
        <v>6376474.9699999997</v>
      </c>
      <c r="U16" s="30">
        <v>770122.43</v>
      </c>
      <c r="V16" s="30"/>
      <c r="W16" s="30">
        <f t="shared" si="0"/>
        <v>14269813.299999999</v>
      </c>
    </row>
    <row r="17" spans="1:23" x14ac:dyDescent="0.25">
      <c r="A17" s="5">
        <v>44378</v>
      </c>
      <c r="B17" s="5"/>
      <c r="C17" s="30">
        <v>141812960.15000001</v>
      </c>
      <c r="D17" s="30">
        <v>533639.67000000004</v>
      </c>
      <c r="E17" s="30">
        <v>128772586.39</v>
      </c>
      <c r="F17" s="30">
        <v>12506734.09</v>
      </c>
      <c r="G17" s="38"/>
      <c r="H17" s="31">
        <v>1121</v>
      </c>
      <c r="I17" s="30">
        <v>360</v>
      </c>
      <c r="J17" s="30"/>
      <c r="K17" s="38"/>
      <c r="L17" s="37">
        <v>62</v>
      </c>
      <c r="M17" s="30">
        <v>17717781</v>
      </c>
      <c r="N17" s="30">
        <v>73365</v>
      </c>
      <c r="O17" s="30">
        <v>3009976.36</v>
      </c>
      <c r="P17" s="38"/>
      <c r="Q17" s="35">
        <v>0</v>
      </c>
      <c r="R17" s="32">
        <v>0</v>
      </c>
      <c r="S17" s="32"/>
      <c r="T17" s="32">
        <v>4518113.0199999996</v>
      </c>
      <c r="U17" s="30">
        <v>541497.18000000005</v>
      </c>
      <c r="V17" s="30"/>
      <c r="W17" s="30">
        <f t="shared" si="0"/>
        <v>16058207.629999999</v>
      </c>
    </row>
    <row r="18" spans="1:23" x14ac:dyDescent="0.25">
      <c r="A18" s="5">
        <v>44409</v>
      </c>
      <c r="B18" s="5"/>
      <c r="C18" s="30">
        <v>138049781.38999999</v>
      </c>
      <c r="D18" s="30">
        <v>727828.1</v>
      </c>
      <c r="E18" s="30">
        <v>125336527.70999999</v>
      </c>
      <c r="F18" s="30">
        <v>11985425.58</v>
      </c>
      <c r="G18" s="38"/>
      <c r="H18" s="31">
        <v>1080</v>
      </c>
      <c r="I18" s="30">
        <v>358</v>
      </c>
      <c r="J18" s="30"/>
      <c r="K18" s="38"/>
      <c r="L18" s="37">
        <v>66</v>
      </c>
      <c r="M18" s="30">
        <v>17238992</v>
      </c>
      <c r="N18" s="30">
        <v>96945</v>
      </c>
      <c r="O18" s="30">
        <v>3488520.26</v>
      </c>
      <c r="P18" s="38"/>
      <c r="Q18" s="35">
        <v>0</v>
      </c>
      <c r="R18" s="32">
        <v>0</v>
      </c>
      <c r="S18" s="32"/>
      <c r="T18" s="32">
        <v>4301095.34</v>
      </c>
      <c r="U18" s="30">
        <v>464164.08</v>
      </c>
      <c r="V18" s="30"/>
      <c r="W18" s="30">
        <f t="shared" si="0"/>
        <v>15938109.92</v>
      </c>
    </row>
    <row r="19" spans="1:23" x14ac:dyDescent="0.25">
      <c r="A19" s="5">
        <v>44440</v>
      </c>
      <c r="B19" s="5"/>
      <c r="C19" s="30">
        <v>128259652.90000001</v>
      </c>
      <c r="D19" s="30">
        <v>778642.99</v>
      </c>
      <c r="E19" s="30">
        <v>116045369.09999999</v>
      </c>
      <c r="F19" s="30">
        <v>11435640.810000001</v>
      </c>
      <c r="G19" s="38"/>
      <c r="H19" s="31">
        <v>1080</v>
      </c>
      <c r="I19" s="30">
        <v>353</v>
      </c>
      <c r="J19" s="30"/>
      <c r="K19" s="38"/>
      <c r="L19" s="37">
        <v>66</v>
      </c>
      <c r="M19" s="30">
        <v>17210204</v>
      </c>
      <c r="N19" s="30">
        <v>84290</v>
      </c>
      <c r="O19" s="30">
        <v>4082782.62</v>
      </c>
      <c r="P19" s="38"/>
      <c r="Q19" s="35">
        <v>16</v>
      </c>
      <c r="R19" s="32">
        <v>460460</v>
      </c>
      <c r="S19" s="32"/>
      <c r="T19" s="32">
        <v>7963040.7400000002</v>
      </c>
      <c r="U19" s="30">
        <v>1414034.53</v>
      </c>
      <c r="V19" s="30"/>
      <c r="W19" s="30">
        <f t="shared" si="0"/>
        <v>17392917.960000001</v>
      </c>
    </row>
    <row r="20" spans="1:23" x14ac:dyDescent="0.25">
      <c r="A20" s="5">
        <v>44470</v>
      </c>
      <c r="B20" s="5"/>
      <c r="C20" s="30">
        <v>137985681.25</v>
      </c>
      <c r="D20" s="30">
        <v>830692.45</v>
      </c>
      <c r="E20" s="30">
        <v>125296905.45999999</v>
      </c>
      <c r="F20" s="30">
        <v>11858083.34</v>
      </c>
      <c r="G20" s="38"/>
      <c r="H20" s="31">
        <v>1080</v>
      </c>
      <c r="I20" s="30">
        <v>354</v>
      </c>
      <c r="J20" s="30"/>
      <c r="K20" s="38"/>
      <c r="L20" s="37">
        <v>66</v>
      </c>
      <c r="M20" s="30">
        <v>18610054</v>
      </c>
      <c r="N20" s="30">
        <v>95395</v>
      </c>
      <c r="O20" s="30">
        <v>3515956.58</v>
      </c>
      <c r="P20" s="38"/>
      <c r="Q20" s="35">
        <v>16</v>
      </c>
      <c r="R20" s="32">
        <v>423750</v>
      </c>
      <c r="S20" s="32"/>
      <c r="T20" s="32">
        <v>11914908.9</v>
      </c>
      <c r="U20" s="30">
        <v>949784.32</v>
      </c>
      <c r="V20" s="30"/>
      <c r="W20" s="30">
        <f t="shared" si="0"/>
        <v>16747574.24</v>
      </c>
    </row>
    <row r="21" spans="1:23" x14ac:dyDescent="0.25">
      <c r="A21" s="5">
        <v>44501</v>
      </c>
      <c r="B21" s="5"/>
      <c r="C21" s="30">
        <v>131589258.19</v>
      </c>
      <c r="D21" s="30">
        <v>819949.14</v>
      </c>
      <c r="E21" s="30">
        <v>119290218.95</v>
      </c>
      <c r="F21" s="30">
        <v>11479090.1</v>
      </c>
      <c r="G21" s="38"/>
      <c r="H21" s="31">
        <v>1080</v>
      </c>
      <c r="I21" s="30">
        <v>354</v>
      </c>
      <c r="J21" s="30"/>
      <c r="K21" s="38"/>
      <c r="L21" s="37">
        <v>66</v>
      </c>
      <c r="M21" s="30">
        <v>17586869</v>
      </c>
      <c r="N21" s="30">
        <v>99920</v>
      </c>
      <c r="O21" s="30">
        <v>3750109.65</v>
      </c>
      <c r="P21" s="38"/>
      <c r="Q21" s="35">
        <v>16</v>
      </c>
      <c r="R21" s="32">
        <v>360723</v>
      </c>
      <c r="S21" s="32"/>
      <c r="T21" s="32">
        <v>9885751.6699999999</v>
      </c>
      <c r="U21" s="30">
        <v>1751328.23</v>
      </c>
      <c r="V21" s="30"/>
      <c r="W21" s="30">
        <f t="shared" si="0"/>
        <v>17341250.98</v>
      </c>
    </row>
    <row r="22" spans="1:23" x14ac:dyDescent="0.25">
      <c r="A22" s="5">
        <v>44531</v>
      </c>
      <c r="B22" s="5"/>
      <c r="C22" s="30">
        <v>130793902.93000001</v>
      </c>
      <c r="D22" s="30">
        <v>802977.6</v>
      </c>
      <c r="E22" s="30">
        <v>118822580.23999999</v>
      </c>
      <c r="F22" s="30">
        <v>11168345.09</v>
      </c>
      <c r="G22" s="38"/>
      <c r="H22" s="31">
        <v>1062</v>
      </c>
      <c r="I22" s="30">
        <v>339</v>
      </c>
      <c r="J22" s="30"/>
      <c r="K22" s="38"/>
      <c r="L22" s="37">
        <v>66</v>
      </c>
      <c r="M22" s="30">
        <v>18710720</v>
      </c>
      <c r="N22" s="30">
        <v>98405</v>
      </c>
      <c r="O22" s="30">
        <v>2812345.95</v>
      </c>
      <c r="P22" s="38"/>
      <c r="Q22" s="35">
        <v>16</v>
      </c>
      <c r="R22" s="32">
        <v>339649</v>
      </c>
      <c r="S22" s="32"/>
      <c r="T22" s="32">
        <v>10001003.26</v>
      </c>
      <c r="U22" s="30">
        <v>277341.45</v>
      </c>
      <c r="V22" s="30"/>
      <c r="W22" s="30">
        <f t="shared" si="0"/>
        <v>14597681.489999998</v>
      </c>
    </row>
    <row r="23" spans="1:23" x14ac:dyDescent="0.25">
      <c r="A23" s="5">
        <v>44562</v>
      </c>
      <c r="B23" s="5"/>
      <c r="C23" s="30">
        <v>118724362.03</v>
      </c>
      <c r="D23" s="30">
        <v>763436.33</v>
      </c>
      <c r="E23" s="30">
        <v>107640524.18000001</v>
      </c>
      <c r="F23" s="30">
        <v>10320401.52</v>
      </c>
      <c r="G23" s="38"/>
      <c r="H23" s="31">
        <v>1050</v>
      </c>
      <c r="I23" s="30">
        <v>317</v>
      </c>
      <c r="J23" s="30"/>
      <c r="K23" s="38"/>
      <c r="L23" s="37">
        <v>66</v>
      </c>
      <c r="M23" s="30">
        <v>16943764</v>
      </c>
      <c r="N23" s="30">
        <v>88275</v>
      </c>
      <c r="O23" s="30">
        <v>3573671.82</v>
      </c>
      <c r="P23" s="38"/>
      <c r="Q23" s="35">
        <v>16</v>
      </c>
      <c r="R23" s="32">
        <v>321573</v>
      </c>
      <c r="S23" s="32"/>
      <c r="T23" s="32">
        <v>7360773.0700000003</v>
      </c>
      <c r="U23" s="30">
        <v>81507.539999999994</v>
      </c>
      <c r="V23" s="30"/>
      <c r="W23" s="30">
        <f t="shared" si="0"/>
        <v>14297153.879999999</v>
      </c>
    </row>
    <row r="24" spans="1:23" x14ac:dyDescent="0.25">
      <c r="A24" s="5">
        <v>44593</v>
      </c>
      <c r="B24" s="5"/>
      <c r="C24" s="30">
        <v>124283224.48</v>
      </c>
      <c r="D24" s="30">
        <v>805161.51</v>
      </c>
      <c r="E24" s="30">
        <v>112666377.13</v>
      </c>
      <c r="F24" s="30">
        <v>10811685.84</v>
      </c>
      <c r="G24" s="38"/>
      <c r="H24" s="31">
        <v>1050</v>
      </c>
      <c r="I24" s="30">
        <v>368</v>
      </c>
      <c r="J24" s="30"/>
      <c r="K24" s="38"/>
      <c r="L24" s="37">
        <v>66</v>
      </c>
      <c r="M24" s="30">
        <v>17030750</v>
      </c>
      <c r="N24" s="30">
        <v>94955</v>
      </c>
      <c r="O24" s="30">
        <v>3049338.66</v>
      </c>
      <c r="P24" s="38"/>
      <c r="Q24" s="35">
        <v>16</v>
      </c>
      <c r="R24" s="32">
        <v>305101</v>
      </c>
      <c r="S24" s="32"/>
      <c r="T24" s="32">
        <v>3268074.53</v>
      </c>
      <c r="U24" s="30">
        <v>-129100.44</v>
      </c>
      <c r="V24" s="30"/>
      <c r="W24" s="30">
        <f t="shared" si="0"/>
        <v>14037025.060000001</v>
      </c>
    </row>
    <row r="25" spans="1:23" x14ac:dyDescent="0.25">
      <c r="A25" s="5">
        <v>44621</v>
      </c>
      <c r="B25" s="5"/>
      <c r="C25" s="30">
        <v>151069425.92999998</v>
      </c>
      <c r="D25" s="30">
        <v>870781.9</v>
      </c>
      <c r="E25" s="30">
        <v>136971967.37</v>
      </c>
      <c r="F25" s="30">
        <v>13226676.660000002</v>
      </c>
      <c r="G25" s="38"/>
      <c r="H25" s="31">
        <v>1050</v>
      </c>
      <c r="I25" s="30">
        <v>406</v>
      </c>
      <c r="J25" s="30"/>
      <c r="K25" s="38" t="s">
        <v>84</v>
      </c>
      <c r="L25" s="37">
        <v>67</v>
      </c>
      <c r="M25" s="30">
        <v>20015443</v>
      </c>
      <c r="N25" s="30">
        <v>116335</v>
      </c>
      <c r="O25" s="30">
        <v>3849064.6999999993</v>
      </c>
      <c r="P25" s="38"/>
      <c r="Q25" s="35">
        <v>16</v>
      </c>
      <c r="R25" s="32">
        <v>345030</v>
      </c>
      <c r="S25" s="32"/>
      <c r="T25" s="32">
        <v>3261191.2900000005</v>
      </c>
      <c r="U25" s="30">
        <v>374227.67</v>
      </c>
      <c r="V25" s="30"/>
      <c r="W25" s="30">
        <f t="shared" si="0"/>
        <v>17794999.030000001</v>
      </c>
    </row>
    <row r="26" spans="1:23" ht="15.75" thickBot="1" x14ac:dyDescent="0.3">
      <c r="A26" s="5" t="s">
        <v>28</v>
      </c>
      <c r="B26" s="5"/>
      <c r="C26" s="39">
        <f>SUM(C14:C25)</f>
        <v>1569429362.9300001</v>
      </c>
      <c r="D26" s="39">
        <f>SUM(D14:D25)</f>
        <v>8299053.1799999997</v>
      </c>
      <c r="E26" s="39">
        <f>SUM(E14:E25)</f>
        <v>1424174939.8099999</v>
      </c>
      <c r="F26" s="39">
        <f>SUM(F14:F25)</f>
        <v>136955369.94</v>
      </c>
      <c r="G26" s="39"/>
      <c r="H26" s="40">
        <v>1038.3800000000001</v>
      </c>
      <c r="I26" s="39">
        <f>F26/H26/365</f>
        <v>361.35152026853206</v>
      </c>
      <c r="J26" s="42"/>
      <c r="K26" s="30"/>
      <c r="L26" s="43">
        <v>63.96</v>
      </c>
      <c r="M26" s="39">
        <f>SUM(M14:M25)</f>
        <v>203321105</v>
      </c>
      <c r="N26" s="39">
        <f>SUM(N14:N25)</f>
        <v>1041755</v>
      </c>
      <c r="O26" s="39">
        <f>SUM(O14:O25)</f>
        <v>40216704.609999999</v>
      </c>
      <c r="P26" s="44"/>
      <c r="Q26" s="45">
        <v>16</v>
      </c>
      <c r="R26" s="39">
        <f>SUM(R14:R25)</f>
        <v>2556286</v>
      </c>
      <c r="S26" s="44"/>
      <c r="T26" s="39">
        <f>SUM(T14:T25)</f>
        <v>81088997.450000003</v>
      </c>
      <c r="U26" s="39">
        <f>SUM(U14:U25)</f>
        <v>7780874.2400000012</v>
      </c>
      <c r="V26" s="44"/>
      <c r="W26" s="39">
        <f>SUM(W14:W25)</f>
        <v>187509234.79000002</v>
      </c>
    </row>
    <row r="27" spans="1:23" ht="10.5" customHeight="1" thickTop="1" x14ac:dyDescent="0.25">
      <c r="A27" s="5"/>
      <c r="B27" s="5"/>
      <c r="C27" s="46"/>
      <c r="D27" s="46"/>
      <c r="E27" s="46"/>
      <c r="F27" s="46"/>
      <c r="G27" s="46"/>
      <c r="H27" s="46"/>
      <c r="I27" s="35"/>
      <c r="J27" s="32"/>
      <c r="K27" s="32"/>
      <c r="L27" s="47"/>
      <c r="M27" s="46"/>
      <c r="N27" s="46"/>
      <c r="O27" s="46"/>
      <c r="P27" s="46"/>
      <c r="Q27" s="47"/>
      <c r="R27" s="46"/>
      <c r="S27" s="46"/>
      <c r="T27" s="46"/>
      <c r="U27" s="36"/>
      <c r="V27" s="36"/>
      <c r="W27" s="36"/>
    </row>
    <row r="28" spans="1:23" s="52" customFormat="1" x14ac:dyDescent="0.25">
      <c r="A28" s="48"/>
      <c r="B28" s="48"/>
      <c r="C28" s="49"/>
      <c r="D28" s="50">
        <f>D26/$C$26</f>
        <v>5.2879431059619821E-3</v>
      </c>
      <c r="E28" s="50">
        <f>E26/$C$26</f>
        <v>0.9074476197840331</v>
      </c>
      <c r="F28" s="50">
        <f>F26/C26</f>
        <v>8.7264437110004867E-2</v>
      </c>
      <c r="G28" s="50"/>
      <c r="H28" s="49"/>
      <c r="I28" s="51"/>
      <c r="J28" s="51"/>
      <c r="K28" s="51"/>
      <c r="L28" s="49"/>
      <c r="M28" s="49"/>
      <c r="N28" s="49"/>
      <c r="O28" s="49">
        <f>O26/$M$26</f>
        <v>0.19779896735265137</v>
      </c>
      <c r="P28" s="49"/>
      <c r="Q28" s="49"/>
      <c r="R28" s="49"/>
      <c r="S28" s="49"/>
      <c r="T28" s="49"/>
      <c r="U28" s="51"/>
      <c r="V28" s="51"/>
      <c r="W28" s="51"/>
    </row>
    <row r="29" spans="1:23" s="52" customFormat="1" x14ac:dyDescent="0.25">
      <c r="A29" s="48"/>
      <c r="B29" s="48"/>
      <c r="C29" s="49"/>
      <c r="D29" s="49"/>
      <c r="E29" s="49"/>
      <c r="F29" s="49"/>
      <c r="G29" s="49"/>
      <c r="H29" s="49"/>
      <c r="I29" s="51"/>
      <c r="J29" s="51"/>
      <c r="K29" s="51"/>
      <c r="L29" s="49"/>
      <c r="M29" s="49"/>
      <c r="N29" s="49"/>
      <c r="O29" s="49"/>
      <c r="P29" s="49"/>
      <c r="Q29" s="49"/>
      <c r="R29" s="49"/>
      <c r="S29" s="49"/>
      <c r="T29" s="49"/>
      <c r="U29" s="51"/>
      <c r="V29" s="51"/>
      <c r="W29" s="51"/>
    </row>
    <row r="30" spans="1:23" s="52" customFormat="1" x14ac:dyDescent="0.25">
      <c r="A30" s="121" t="s">
        <v>29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3"/>
    </row>
    <row r="31" spans="1:23" s="52" customFormat="1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4"/>
      <c r="V31" s="54"/>
      <c r="W31" s="54"/>
    </row>
    <row r="32" spans="1:23" s="52" customFormat="1" x14ac:dyDescent="0.25">
      <c r="A32" s="53"/>
      <c r="B32" s="53"/>
      <c r="C32" s="53"/>
      <c r="D32" s="53"/>
      <c r="E32" s="53"/>
      <c r="F32" s="53"/>
      <c r="G32" s="53"/>
      <c r="H32" s="124" t="s">
        <v>30</v>
      </c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6"/>
      <c r="U32" s="104"/>
      <c r="V32" s="104"/>
      <c r="W32" s="104"/>
    </row>
    <row r="33" spans="1:24" s="60" customFormat="1" ht="12" x14ac:dyDescent="0.2">
      <c r="A33" s="55"/>
      <c r="B33" s="55"/>
      <c r="C33" s="55"/>
      <c r="D33" s="55"/>
      <c r="E33" s="55"/>
      <c r="F33" s="55" t="s">
        <v>31</v>
      </c>
      <c r="G33" s="55"/>
      <c r="H33" s="56" t="s">
        <v>32</v>
      </c>
      <c r="I33" s="56" t="s">
        <v>33</v>
      </c>
      <c r="J33" s="56" t="s">
        <v>34</v>
      </c>
      <c r="K33" s="57"/>
      <c r="L33" s="57"/>
      <c r="M33" s="109"/>
      <c r="N33" s="109"/>
      <c r="O33" s="109"/>
      <c r="P33" s="109"/>
      <c r="Q33" s="109"/>
      <c r="R33" s="59"/>
      <c r="S33" s="59"/>
      <c r="T33" s="59"/>
      <c r="U33" s="55"/>
      <c r="V33" s="55"/>
      <c r="W33" s="55"/>
    </row>
    <row r="34" spans="1:24" s="60" customFormat="1" ht="12.75" customHeight="1" x14ac:dyDescent="0.2">
      <c r="A34" s="55"/>
      <c r="B34" s="55"/>
      <c r="C34" s="18" t="s">
        <v>35</v>
      </c>
      <c r="D34" s="55" t="s">
        <v>11</v>
      </c>
      <c r="E34" s="55" t="s">
        <v>36</v>
      </c>
      <c r="F34" s="55" t="s">
        <v>37</v>
      </c>
      <c r="G34" s="55"/>
      <c r="H34" s="56" t="s">
        <v>38</v>
      </c>
      <c r="I34" s="56" t="s">
        <v>39</v>
      </c>
      <c r="J34" s="56" t="s">
        <v>40</v>
      </c>
      <c r="K34" s="57"/>
      <c r="L34" s="116" t="s">
        <v>41</v>
      </c>
      <c r="M34" s="116"/>
      <c r="N34" s="116"/>
      <c r="O34" s="116"/>
      <c r="P34" s="116"/>
      <c r="Q34" s="116"/>
      <c r="R34" s="116"/>
      <c r="S34" s="116"/>
      <c r="T34" s="116"/>
      <c r="U34" s="117"/>
      <c r="V34" s="117"/>
      <c r="W34" s="117"/>
    </row>
    <row r="35" spans="1:24" s="60" customFormat="1" ht="12" x14ac:dyDescent="0.2">
      <c r="A35" s="55"/>
      <c r="B35" s="55"/>
      <c r="C35" s="27" t="s">
        <v>42</v>
      </c>
      <c r="D35" s="61" t="s">
        <v>43</v>
      </c>
      <c r="E35" s="61" t="s">
        <v>44</v>
      </c>
      <c r="F35" s="61" t="s">
        <v>45</v>
      </c>
      <c r="G35" s="59"/>
      <c r="H35" s="62" t="s">
        <v>46</v>
      </c>
      <c r="I35" s="62" t="s">
        <v>40</v>
      </c>
      <c r="J35" s="62" t="s">
        <v>47</v>
      </c>
      <c r="K35" s="108"/>
      <c r="L35" s="108" t="s">
        <v>48</v>
      </c>
      <c r="M35" s="108" t="s">
        <v>49</v>
      </c>
      <c r="N35" s="108" t="s">
        <v>50</v>
      </c>
      <c r="O35" s="108" t="s">
        <v>51</v>
      </c>
      <c r="P35" s="111"/>
      <c r="Q35" s="108" t="s">
        <v>52</v>
      </c>
      <c r="R35" s="65" t="s">
        <v>53</v>
      </c>
      <c r="S35" s="65"/>
      <c r="T35" s="65" t="s">
        <v>54</v>
      </c>
      <c r="U35" s="59"/>
      <c r="V35" s="59"/>
      <c r="W35" s="59"/>
    </row>
    <row r="36" spans="1:24" s="52" customFormat="1" x14ac:dyDescent="0.25">
      <c r="A36" s="5">
        <v>44287</v>
      </c>
      <c r="B36" s="48"/>
      <c r="C36" s="42">
        <f t="shared" ref="C36:C47" si="1">(F14*0.7)+(O14+R14+U14)*0.9</f>
        <v>10602315.07</v>
      </c>
      <c r="D36" s="44">
        <f t="shared" ref="D36:D47" si="2">(F14*0.3)+(O14+R14+U14)*0.1</f>
        <v>3553871.1300000004</v>
      </c>
      <c r="E36" s="34">
        <v>30717.85</v>
      </c>
      <c r="F36" s="34">
        <v>0</v>
      </c>
      <c r="G36" s="54"/>
      <c r="H36" s="42">
        <f t="shared" ref="H36:H47" si="3">F14*0.3*0.8+(O14+R14+U14)*0.1*0.8+((E36+F36)*0.8)</f>
        <v>2867671.1839999999</v>
      </c>
      <c r="I36" s="42">
        <f t="shared" ref="I36:I47" si="4">(F14*0.3*0.05+(O14+R14+U14)*0.1*0.05+((E36+F36)*0.05))</f>
        <v>179229.44899999999</v>
      </c>
      <c r="J36" s="42">
        <f t="shared" ref="J36:J47" si="5">F14*0.3*0.05+(O14+R14+U14)*0.1*0.05+((E36+F36)*0.05)</f>
        <v>179229.44899999999</v>
      </c>
      <c r="K36" s="34"/>
      <c r="L36" s="42">
        <f t="shared" ref="L36:L38" si="6">(F14*0.3*0.1+(O14+R14+U14)*0.1*0.1)*304204/884955+((E36+F36)*0.1*304204/884955)</f>
        <v>123220.53732358369</v>
      </c>
      <c r="M36" s="42">
        <f t="shared" ref="M36:M38" si="7">(F14*0.3*0.1+(O14+R14+U14)*0.1*0.1)*55531/884955+((E36+F36)*0.1*55531/884955)</f>
        <v>22493.325722593807</v>
      </c>
      <c r="N36" s="42">
        <f t="shared" ref="N36:N38" si="8">(F14*0.3*0.1+(O14+R14+U14)*0.1*0.1)*50219/884955+((E36+F36)*0.1*50219/884955)</f>
        <v>20341.652850892984</v>
      </c>
      <c r="O36" s="42">
        <f t="shared" ref="O36:O38" si="9">(F14*0.3*0.1+(O14+R14+U14)*0.1*0.1)*159429/884955+((E36+F36)*0.1*159429/884955)</f>
        <v>64578.135215058399</v>
      </c>
      <c r="P36" s="42"/>
      <c r="Q36" s="42">
        <f t="shared" ref="Q36:Q38" si="10">(F14*0.3*0.1+(O14+R14+U14)*0.1*0.1)*219607/884955+((E36+F36)*0.1*219607/884955)</f>
        <v>88953.769641491381</v>
      </c>
      <c r="R36" s="42">
        <f t="shared" ref="R36:R38" si="11">(F14*0.3*0.1+(O14+R14+U14)*0.1*0.1)*32749/884955+((E36+F36)*0.1*32749/884955)</f>
        <v>13265.273884663064</v>
      </c>
      <c r="S36" s="42"/>
      <c r="T36" s="42">
        <f t="shared" ref="T36:T38" si="12">(F14*0.3*0.1+(O14+R14+U14)*0.1*0.1)*63216/884955+((E36+F36)*0.1*63216/884955)</f>
        <v>25606.2033617167</v>
      </c>
      <c r="U36" s="30"/>
      <c r="V36" s="30"/>
      <c r="W36" s="44"/>
    </row>
    <row r="37" spans="1:24" s="52" customFormat="1" x14ac:dyDescent="0.25">
      <c r="A37" s="5">
        <v>44317</v>
      </c>
      <c r="B37" s="48"/>
      <c r="C37" s="42">
        <f t="shared" si="1"/>
        <v>11212765.039999999</v>
      </c>
      <c r="D37" s="44">
        <f t="shared" si="2"/>
        <v>3665550.0599999996</v>
      </c>
      <c r="E37" s="34">
        <v>35638.78</v>
      </c>
      <c r="F37" s="34">
        <v>342.5</v>
      </c>
      <c r="G37" s="110"/>
      <c r="H37" s="42">
        <f t="shared" si="3"/>
        <v>2961225.0720000002</v>
      </c>
      <c r="I37" s="42">
        <f t="shared" si="4"/>
        <v>185076.56700000001</v>
      </c>
      <c r="J37" s="42">
        <f t="shared" si="5"/>
        <v>185076.56700000001</v>
      </c>
      <c r="K37" s="34"/>
      <c r="L37" s="42">
        <f t="shared" si="6"/>
        <v>127240.44044650406</v>
      </c>
      <c r="M37" s="42">
        <f t="shared" si="7"/>
        <v>23227.140006163027</v>
      </c>
      <c r="N37" s="42">
        <f t="shared" si="8"/>
        <v>21005.271721551941</v>
      </c>
      <c r="O37" s="42">
        <f t="shared" si="9"/>
        <v>66684.909402722158</v>
      </c>
      <c r="P37" s="42"/>
      <c r="Q37" s="42">
        <f t="shared" si="10"/>
        <v>91855.765884522931</v>
      </c>
      <c r="R37" s="42">
        <f t="shared" si="11"/>
        <v>13698.035476793733</v>
      </c>
      <c r="S37" s="42"/>
      <c r="T37" s="42">
        <f t="shared" si="12"/>
        <v>26441.571061742125</v>
      </c>
      <c r="U37" s="30"/>
      <c r="V37" s="30"/>
      <c r="W37" s="44"/>
    </row>
    <row r="38" spans="1:24" s="52" customFormat="1" x14ac:dyDescent="0.25">
      <c r="A38" s="5">
        <v>44348</v>
      </c>
      <c r="B38" s="48"/>
      <c r="C38" s="44">
        <f t="shared" si="1"/>
        <v>10726145.648</v>
      </c>
      <c r="D38" s="44">
        <f t="shared" si="2"/>
        <v>3543667.6519999998</v>
      </c>
      <c r="E38" s="30">
        <v>43345.88</v>
      </c>
      <c r="F38" s="30">
        <v>-2250</v>
      </c>
      <c r="G38" s="37"/>
      <c r="H38" s="44">
        <f t="shared" si="3"/>
        <v>2867810.8255999996</v>
      </c>
      <c r="I38" s="44">
        <f t="shared" si="4"/>
        <v>179238.17659999998</v>
      </c>
      <c r="J38" s="44">
        <f t="shared" si="5"/>
        <v>179238.17659999998</v>
      </c>
      <c r="K38" s="30"/>
      <c r="L38" s="44">
        <f t="shared" si="6"/>
        <v>123226.53756276057</v>
      </c>
      <c r="M38" s="44">
        <f t="shared" si="7"/>
        <v>22494.421037848475</v>
      </c>
      <c r="N38" s="44">
        <f t="shared" si="8"/>
        <v>20342.643390173282</v>
      </c>
      <c r="O38" s="44">
        <f t="shared" si="9"/>
        <v>64581.279855272631</v>
      </c>
      <c r="P38" s="44"/>
      <c r="Q38" s="44">
        <f t="shared" si="10"/>
        <v>88958.101256213486</v>
      </c>
      <c r="R38" s="44">
        <f t="shared" si="11"/>
        <v>13265.919838801747</v>
      </c>
      <c r="S38" s="44"/>
      <c r="T38" s="44">
        <f t="shared" si="12"/>
        <v>25607.450258929774</v>
      </c>
      <c r="U38" s="30"/>
      <c r="V38" s="30"/>
      <c r="W38" s="44"/>
    </row>
    <row r="39" spans="1:24" s="52" customFormat="1" x14ac:dyDescent="0.25">
      <c r="A39" s="5">
        <v>44378</v>
      </c>
      <c r="B39" s="48"/>
      <c r="C39" s="44">
        <f t="shared" si="1"/>
        <v>11951040.049000001</v>
      </c>
      <c r="D39" s="44">
        <f t="shared" si="2"/>
        <v>4107167.5810000002</v>
      </c>
      <c r="E39" s="30">
        <v>64897.7</v>
      </c>
      <c r="F39" s="30">
        <v>1000</v>
      </c>
      <c r="G39" s="37"/>
      <c r="H39" s="44">
        <f t="shared" si="3"/>
        <v>3338452.2248000004</v>
      </c>
      <c r="I39" s="44">
        <f t="shared" si="4"/>
        <v>208653.26405000003</v>
      </c>
      <c r="J39" s="44">
        <f t="shared" si="5"/>
        <v>208653.26405000003</v>
      </c>
      <c r="K39" s="30"/>
      <c r="L39" s="44">
        <f>(F17*0.3*0.1+(O17+R17+U17)*0.1*0.1)*314848/905359+((E39+F39)*0.1*314848/905359)</f>
        <v>145122.68145479177</v>
      </c>
      <c r="M39" s="44">
        <f>(F17*0.3*0.1+(O17+R17+U17)*0.1*0.1)*53324/905359+((E39+F39)*0.1*53324/905359)</f>
        <v>24578.596230229556</v>
      </c>
      <c r="N39" s="44">
        <f>(F17*0.3*0.1+(O17+R17+U17)*0.1*0.1)*49532/905359+((E39+F39)*0.1*49532/905359)</f>
        <v>22830.752165548918</v>
      </c>
      <c r="O39" s="44">
        <f>(F17*0.3*0.1+(O17+R17+U17)*0.1*0.1)*161130/905359+((E39+F39)*0.1*161130/905359)</f>
        <v>74269.544868668672</v>
      </c>
      <c r="P39" s="44"/>
      <c r="Q39" s="44">
        <f>(F17*0.3*0.1+(O17+R17+U17)*0.1*0.1)*235509/905359+((E39+F39)*0.1*235509/905359)</f>
        <v>108553.00839369014</v>
      </c>
      <c r="R39" s="44">
        <f>(F17*0.3*0.1+(O17+R17+U17)*0.1*0.1)*29714/905359+((E39+F39)*0.1*29714/905359)</f>
        <v>13696.0544667512</v>
      </c>
      <c r="S39" s="44"/>
      <c r="T39" s="44">
        <f>(F17*0.3*0.1+(O17+R17+U17)*0.1*0.1)*61302/905359+((E39+F39)*0.1*61302/905359)</f>
        <v>28255.890520319786</v>
      </c>
      <c r="U39" s="38"/>
      <c r="V39" s="38"/>
      <c r="W39" s="68">
        <f t="shared" ref="W39:W47" si="13">(F17*0.45*0.1+(O17+R17)*0.1*0.1)*63216/884955+((E39+F39)*0.1*63216/884955)</f>
        <v>42824.236437516483</v>
      </c>
    </row>
    <row r="40" spans="1:24" s="52" customFormat="1" x14ac:dyDescent="0.25">
      <c r="A40" s="5">
        <v>44409</v>
      </c>
      <c r="B40" s="48"/>
      <c r="C40" s="44">
        <f t="shared" si="1"/>
        <v>11947213.811999999</v>
      </c>
      <c r="D40" s="44">
        <f t="shared" si="2"/>
        <v>3990896.108</v>
      </c>
      <c r="E40" s="30">
        <v>60048.54</v>
      </c>
      <c r="F40" s="30">
        <v>0</v>
      </c>
      <c r="G40" s="37"/>
      <c r="H40" s="44">
        <f t="shared" si="3"/>
        <v>3240755.7184000001</v>
      </c>
      <c r="I40" s="44">
        <f t="shared" si="4"/>
        <v>202547.23240000001</v>
      </c>
      <c r="J40" s="44">
        <f t="shared" si="5"/>
        <v>202547.23240000001</v>
      </c>
      <c r="K40" s="30"/>
      <c r="L40" s="44">
        <f>(F18*0.3*0.1+(O18+R18+U18)*0.1*0.1)*314848/905359+((E40+F40)*0.1*314848/905359)</f>
        <v>140875.80954444635</v>
      </c>
      <c r="M40" s="44">
        <f>(F18*0.3*0.1+(O18+R18+U18)*0.1*0.1)*53324/905359+((E40+F40)*0.1*53324/905359)</f>
        <v>23859.327892024274</v>
      </c>
      <c r="N40" s="44">
        <f>(F18*0.3*0.1+(O18+R18+U18)*0.1*0.1)*49532/905359+((E40+F40)*0.1*49532/905359)</f>
        <v>22162.632757252755</v>
      </c>
      <c r="O40" s="44">
        <f>(F18*0.3*0.1+(O18+R18+U18)*0.1*0.1)*161130/905359+((E40+F40)*0.1*161130/905359)</f>
        <v>72096.120006786252</v>
      </c>
      <c r="P40" s="44"/>
      <c r="Q40" s="44">
        <f>(F18*0.3*0.1+(O18+R18+U18)*0.1*0.1)*235509/905359+((E40+F40)*0.1*235509/905359)</f>
        <v>105376.31183937333</v>
      </c>
      <c r="R40" s="44">
        <f>(F18*0.3*0.1+(O18+R18+U18)*0.1*0.1)*29714/905359+((E40+F40)*0.1*29714/905359)</f>
        <v>13295.252962711147</v>
      </c>
      <c r="S40" s="44"/>
      <c r="T40" s="44">
        <f>(F18*0.3*0.1+(O18+R18+U18)*0.1*0.1)*61302/905359+((E40+F40)*0.1*61302/905359)</f>
        <v>27429.009797405892</v>
      </c>
      <c r="U40" s="38"/>
      <c r="V40" s="38"/>
      <c r="W40" s="68">
        <f t="shared" si="13"/>
        <v>41448.532042830651</v>
      </c>
      <c r="X40" s="67"/>
    </row>
    <row r="41" spans="1:24" s="52" customFormat="1" x14ac:dyDescent="0.25">
      <c r="A41" s="5">
        <v>44440</v>
      </c>
      <c r="B41" s="48"/>
      <c r="C41" s="44">
        <f t="shared" si="1"/>
        <v>13366498.002</v>
      </c>
      <c r="D41" s="44">
        <f t="shared" si="2"/>
        <v>4026419.9580000006</v>
      </c>
      <c r="E41" s="30">
        <v>58438.63</v>
      </c>
      <c r="F41" s="30">
        <v>-78771.55</v>
      </c>
      <c r="G41" s="38"/>
      <c r="H41" s="44">
        <f t="shared" si="3"/>
        <v>3204869.6304000006</v>
      </c>
      <c r="I41" s="44">
        <f t="shared" si="4"/>
        <v>200304.35190000004</v>
      </c>
      <c r="J41" s="44">
        <f t="shared" si="5"/>
        <v>200304.35190000004</v>
      </c>
      <c r="K41" s="30"/>
      <c r="L41" s="44">
        <f>(F19*0.3*0.1+(O19+R19+U19)*0.1*0.1)*314848/905359+((E41+F41)*0.1*314848/905359)</f>
        <v>139315.83954433815</v>
      </c>
      <c r="M41" s="44">
        <f>(F19*0.3*0.1+(O19+R19+U19)*0.1*0.1)*53324/905359+((E41+F41)*0.1*53324/905359)</f>
        <v>23595.124720062653</v>
      </c>
      <c r="N41" s="44">
        <f>(F19*0.3*0.1+(O19+R19+U19)*0.1*0.1)*49532/905359+((E41+F41)*0.1*49532/905359)</f>
        <v>21917.217718740969</v>
      </c>
      <c r="O41" s="44">
        <f>(F19*0.3*0.1+(O19+R19+U19)*0.1*0.1)*161130/905359+((E41+F41)*0.1*161130/905359)</f>
        <v>71297.772975464992</v>
      </c>
      <c r="P41" s="44"/>
      <c r="Q41" s="44">
        <f>(F19*0.3*0.1+(O19+R19+U19)*0.1*0.1)*235509/905359+((E41+F41)*0.1*235509/905359)</f>
        <v>104209.44092148443</v>
      </c>
      <c r="R41" s="44">
        <f>(F19*0.3*0.1+(O19+R19+U19)*0.1*0.1)*29714/905359+((E41+F41)*0.1*29714/905359)</f>
        <v>13148.029703922093</v>
      </c>
      <c r="S41" s="44"/>
      <c r="T41" s="44">
        <f>(F19*0.3*0.1+(O19+R19+U19)*0.1*0.1)*61302/905359+((E41+F41)*0.1*61302/905359)</f>
        <v>27125.278215986811</v>
      </c>
      <c r="U41" s="38"/>
      <c r="V41" s="38"/>
      <c r="W41" s="68">
        <f t="shared" si="13"/>
        <v>39860.462727043079</v>
      </c>
    </row>
    <row r="42" spans="1:24" s="52" customFormat="1" x14ac:dyDescent="0.25">
      <c r="A42" s="5">
        <v>44470</v>
      </c>
      <c r="B42" s="48"/>
      <c r="C42" s="44">
        <f t="shared" si="1"/>
        <v>12701200.148</v>
      </c>
      <c r="D42" s="44">
        <f t="shared" si="2"/>
        <v>4046374.0920000002</v>
      </c>
      <c r="E42" s="30">
        <v>59641.9</v>
      </c>
      <c r="F42" s="30">
        <v>10000</v>
      </c>
      <c r="G42" s="38"/>
      <c r="H42" s="44">
        <f t="shared" si="3"/>
        <v>3292812.7936</v>
      </c>
      <c r="I42" s="44">
        <f t="shared" si="4"/>
        <v>205800.7996</v>
      </c>
      <c r="J42" s="44">
        <f t="shared" si="5"/>
        <v>205800.7996</v>
      </c>
      <c r="K42" s="30"/>
      <c r="L42" s="44">
        <f t="shared" ref="L42:L47" si="14">(F20*0.3*0.1+(O20+R20+U20)*0.1*0.1)*314848/905359+((E42+F42)*0.1*314848/905359)</f>
        <v>143138.73314886316</v>
      </c>
      <c r="M42" s="44">
        <f t="shared" ref="M42:M47" si="15">(F20*0.3*0.1+(O20+R20+U20)*0.1*0.1)*53324/905359+((E42+F42)*0.1*53324/905359)</f>
        <v>24242.586284270441</v>
      </c>
      <c r="N42" s="44">
        <f t="shared" ref="N42:N47" si="16">(F20*0.3*0.1+(O20+R20+U20)*0.1*0.1)*49532/905359+((E42+F42)*0.1*49532/905359)</f>
        <v>22518.636708283011</v>
      </c>
      <c r="O42" s="44">
        <f t="shared" ref="O42:O47" si="17">(F20*0.3*0.1+(O20+R20+U20)*0.1*0.1)*161130/905359+((E42+F42)*0.1*161130/905359)</f>
        <v>73254.218137883421</v>
      </c>
      <c r="P42" s="44"/>
      <c r="Q42" s="44">
        <f t="shared" ref="Q42:Q47" si="18">(F20*0.3*0.1+(O20+R20+U20)*0.1*0.1)*235509/905359+((E42+F42)*0.1*235509/905359)</f>
        <v>107068.99807257982</v>
      </c>
      <c r="R42" s="44">
        <f t="shared" ref="R42:R47" si="19">(F20*0.3*0.1+(O20+R20+U20)*0.1*0.1)*29714/905359+((E42+F42)*0.1*29714/905359)</f>
        <v>13508.817959095562</v>
      </c>
      <c r="S42" s="44"/>
      <c r="T42" s="44">
        <f t="shared" ref="T42:T47" si="20">(F20*0.3*0.1+(O20+R20+U20)*0.1*0.1)*61302/905359+((E42+F42)*0.1*61302/905359)</f>
        <v>27869.608889024574</v>
      </c>
      <c r="U42" s="38"/>
      <c r="V42" s="38"/>
      <c r="W42" s="68">
        <f t="shared" si="13"/>
        <v>41430.016199261663</v>
      </c>
    </row>
    <row r="43" spans="1:24" s="52" customFormat="1" x14ac:dyDescent="0.25">
      <c r="A43" s="5">
        <v>44501</v>
      </c>
      <c r="B43" s="48"/>
      <c r="C43" s="44">
        <f t="shared" si="1"/>
        <v>13311307.862</v>
      </c>
      <c r="D43" s="44">
        <f t="shared" si="2"/>
        <v>4029943.1179999998</v>
      </c>
      <c r="E43" s="30">
        <v>24535.69</v>
      </c>
      <c r="F43" s="30">
        <v>80000</v>
      </c>
      <c r="G43" s="38"/>
      <c r="H43" s="44">
        <f t="shared" si="3"/>
        <v>3307583.0463999999</v>
      </c>
      <c r="I43" s="44">
        <f t="shared" si="4"/>
        <v>206723.94039999999</v>
      </c>
      <c r="J43" s="44">
        <f t="shared" si="5"/>
        <v>206723.94039999999</v>
      </c>
      <c r="K43" s="30"/>
      <c r="L43" s="44">
        <f t="shared" si="14"/>
        <v>143780.79676031097</v>
      </c>
      <c r="M43" s="44">
        <f t="shared" si="15"/>
        <v>24351.328915688911</v>
      </c>
      <c r="N43" s="44">
        <f t="shared" si="16"/>
        <v>22619.64638534062</v>
      </c>
      <c r="O43" s="44">
        <f t="shared" si="17"/>
        <v>73582.807519783848</v>
      </c>
      <c r="P43" s="44"/>
      <c r="Q43" s="44">
        <f t="shared" si="18"/>
        <v>107549.26715184495</v>
      </c>
      <c r="R43" s="44">
        <f t="shared" si="19"/>
        <v>13569.413161067818</v>
      </c>
      <c r="S43" s="44"/>
      <c r="T43" s="44">
        <f t="shared" si="20"/>
        <v>27994.620905962827</v>
      </c>
      <c r="U43" s="38"/>
      <c r="V43" s="38"/>
      <c r="W43" s="68">
        <f t="shared" si="13"/>
        <v>40583.231887723108</v>
      </c>
    </row>
    <row r="44" spans="1:24" s="52" customFormat="1" x14ac:dyDescent="0.25">
      <c r="A44" s="5">
        <v>44531</v>
      </c>
      <c r="B44" s="48"/>
      <c r="C44" s="44">
        <f t="shared" si="1"/>
        <v>10904244.322999999</v>
      </c>
      <c r="D44" s="44">
        <f t="shared" si="2"/>
        <v>3693437.1669999999</v>
      </c>
      <c r="E44" s="30">
        <v>39107.4</v>
      </c>
      <c r="F44" s="30">
        <v>0</v>
      </c>
      <c r="G44" s="38"/>
      <c r="H44" s="44">
        <f t="shared" si="3"/>
        <v>2986035.6535999998</v>
      </c>
      <c r="I44" s="44">
        <f t="shared" si="4"/>
        <v>186627.22834999999</v>
      </c>
      <c r="J44" s="44">
        <f t="shared" si="5"/>
        <v>186627.22834999999</v>
      </c>
      <c r="K44" s="30"/>
      <c r="L44" s="44">
        <f t="shared" si="14"/>
        <v>129803.11587235736</v>
      </c>
      <c r="M44" s="44">
        <f t="shared" si="15"/>
        <v>21984.009270433937</v>
      </c>
      <c r="N44" s="44">
        <f t="shared" si="16"/>
        <v>20420.672627393553</v>
      </c>
      <c r="O44" s="44">
        <f t="shared" si="17"/>
        <v>66429.439159572052</v>
      </c>
      <c r="P44" s="44"/>
      <c r="Q44" s="44">
        <f t="shared" si="18"/>
        <v>97093.842158702013</v>
      </c>
      <c r="R44" s="44">
        <f t="shared" si="19"/>
        <v>12250.259760364452</v>
      </c>
      <c r="S44" s="44"/>
      <c r="T44" s="44">
        <f t="shared" si="20"/>
        <v>25273.117851176605</v>
      </c>
      <c r="U44" s="38"/>
      <c r="V44" s="38"/>
      <c r="W44" s="68">
        <f t="shared" si="13"/>
        <v>38432.011923608319</v>
      </c>
    </row>
    <row r="45" spans="1:24" s="52" customFormat="1" x14ac:dyDescent="0.25">
      <c r="A45" s="5">
        <v>44562</v>
      </c>
      <c r="B45" s="48"/>
      <c r="C45" s="44">
        <f t="shared" si="1"/>
        <v>10803358.187999999</v>
      </c>
      <c r="D45" s="44">
        <f t="shared" si="2"/>
        <v>3493795.6919999998</v>
      </c>
      <c r="E45" s="30">
        <v>33481.69</v>
      </c>
      <c r="F45" s="30">
        <v>0</v>
      </c>
      <c r="G45" s="38"/>
      <c r="H45" s="44">
        <f t="shared" si="3"/>
        <v>2821821.9056000002</v>
      </c>
      <c r="I45" s="44">
        <f t="shared" si="4"/>
        <v>176363.86910000001</v>
      </c>
      <c r="J45" s="44">
        <f t="shared" si="5"/>
        <v>176363.86910000001</v>
      </c>
      <c r="K45" s="30"/>
      <c r="L45" s="44">
        <f t="shared" si="14"/>
        <v>122664.73621711787</v>
      </c>
      <c r="M45" s="44">
        <f t="shared" si="15"/>
        <v>20775.02284925295</v>
      </c>
      <c r="N45" s="44">
        <f t="shared" si="16"/>
        <v>19297.660186205034</v>
      </c>
      <c r="O45" s="44">
        <f t="shared" si="17"/>
        <v>62776.225183784562</v>
      </c>
      <c r="P45" s="44"/>
      <c r="Q45" s="44">
        <f t="shared" si="18"/>
        <v>91754.273051622411</v>
      </c>
      <c r="R45" s="44">
        <f t="shared" si="19"/>
        <v>11576.570192459347</v>
      </c>
      <c r="S45" s="44"/>
      <c r="T45" s="44">
        <f t="shared" si="20"/>
        <v>23883.250519557878</v>
      </c>
      <c r="U45" s="38"/>
      <c r="V45" s="38"/>
      <c r="W45" s="68">
        <f t="shared" si="13"/>
        <v>36197.013892107054</v>
      </c>
    </row>
    <row r="46" spans="1:24" s="52" customFormat="1" x14ac:dyDescent="0.25">
      <c r="A46" s="5">
        <v>44593</v>
      </c>
      <c r="B46" s="48"/>
      <c r="C46" s="44">
        <f t="shared" si="1"/>
        <v>10470985.386</v>
      </c>
      <c r="D46" s="44">
        <f t="shared" si="2"/>
        <v>3566039.6739999996</v>
      </c>
      <c r="E46" s="30">
        <v>39995.35</v>
      </c>
      <c r="F46" s="30">
        <v>0</v>
      </c>
      <c r="G46" s="38"/>
      <c r="H46" s="44">
        <f t="shared" si="3"/>
        <v>2884828.0192</v>
      </c>
      <c r="I46" s="44">
        <f t="shared" si="4"/>
        <v>180301.7512</v>
      </c>
      <c r="J46" s="44">
        <f t="shared" si="5"/>
        <v>180301.7512</v>
      </c>
      <c r="K46" s="30"/>
      <c r="L46" s="44">
        <f t="shared" si="14"/>
        <v>125403.61505616579</v>
      </c>
      <c r="M46" s="44">
        <f t="shared" si="15"/>
        <v>21238.891049823993</v>
      </c>
      <c r="N46" s="44">
        <f t="shared" si="16"/>
        <v>19728.541585025167</v>
      </c>
      <c r="O46" s="44">
        <f t="shared" si="17"/>
        <v>64177.903286665292</v>
      </c>
      <c r="P46" s="44"/>
      <c r="Q46" s="44">
        <f t="shared" si="18"/>
        <v>93802.977875872006</v>
      </c>
      <c r="R46" s="44">
        <f t="shared" si="19"/>
        <v>11835.053796685736</v>
      </c>
      <c r="S46" s="44"/>
      <c r="T46" s="44">
        <f t="shared" si="20"/>
        <v>24416.519749762032</v>
      </c>
      <c r="U46" s="38"/>
      <c r="V46" s="38"/>
      <c r="W46" s="68">
        <f t="shared" si="13"/>
        <v>37436.475439757276</v>
      </c>
    </row>
    <row r="47" spans="1:24" s="52" customFormat="1" x14ac:dyDescent="0.25">
      <c r="A47" s="5">
        <v>44621</v>
      </c>
      <c r="B47" s="48"/>
      <c r="C47" s="44">
        <f t="shared" si="1"/>
        <v>13370163.795</v>
      </c>
      <c r="D47" s="44">
        <f t="shared" si="2"/>
        <v>4424835.2350000003</v>
      </c>
      <c r="E47" s="30">
        <v>42579.040000000001</v>
      </c>
      <c r="F47" s="30">
        <v>0</v>
      </c>
      <c r="G47" s="38"/>
      <c r="H47" s="44">
        <f t="shared" si="3"/>
        <v>3573931.4200000009</v>
      </c>
      <c r="I47" s="44">
        <f t="shared" si="4"/>
        <v>223370.71375000005</v>
      </c>
      <c r="J47" s="44">
        <f t="shared" si="5"/>
        <v>223370.71375000005</v>
      </c>
      <c r="K47" s="30"/>
      <c r="L47" s="44">
        <f t="shared" si="14"/>
        <v>155358.97358453393</v>
      </c>
      <c r="M47" s="44">
        <f t="shared" si="15"/>
        <v>26312.258319638957</v>
      </c>
      <c r="N47" s="44">
        <f t="shared" si="16"/>
        <v>24441.12930553516</v>
      </c>
      <c r="O47" s="44">
        <f t="shared" si="17"/>
        <v>79508.179863540354</v>
      </c>
      <c r="P47" s="44"/>
      <c r="Q47" s="44">
        <f t="shared" si="18"/>
        <v>116209.84255869499</v>
      </c>
      <c r="R47" s="44">
        <f t="shared" si="19"/>
        <v>14662.111689103442</v>
      </c>
      <c r="S47" s="44"/>
      <c r="T47" s="44">
        <f t="shared" si="20"/>
        <v>30248.932178953331</v>
      </c>
      <c r="U47" s="38"/>
      <c r="V47" s="38"/>
      <c r="W47" s="68">
        <f t="shared" si="13"/>
        <v>45817.807903284585</v>
      </c>
    </row>
    <row r="48" spans="1:24" s="52" customFormat="1" ht="15.75" thickBot="1" x14ac:dyDescent="0.3">
      <c r="A48" s="5" t="s">
        <v>28</v>
      </c>
      <c r="B48" s="48"/>
      <c r="C48" s="69">
        <f>SUM(C36:C47)</f>
        <v>141367237.32299998</v>
      </c>
      <c r="D48" s="69">
        <f>SUM(D36:D47)</f>
        <v>46141997.467000008</v>
      </c>
      <c r="E48" s="69">
        <f>SUM(E36:E47)</f>
        <v>532428.45000000007</v>
      </c>
      <c r="F48" s="39">
        <f>SUM(F36:F47)</f>
        <v>10320.949999999997</v>
      </c>
      <c r="G48" s="46"/>
      <c r="H48" s="69">
        <f>SUM(H36:H47)</f>
        <v>37347797.493600003</v>
      </c>
      <c r="I48" s="69">
        <f t="shared" ref="I48:R48" si="21">SUM(I36:I47)</f>
        <v>2334237.3433500002</v>
      </c>
      <c r="J48" s="69">
        <f t="shared" si="21"/>
        <v>2334237.3433500002</v>
      </c>
      <c r="K48" s="69"/>
      <c r="L48" s="69">
        <f t="shared" si="21"/>
        <v>1619151.8165157735</v>
      </c>
      <c r="M48" s="69">
        <f t="shared" si="21"/>
        <v>279152.03229803097</v>
      </c>
      <c r="N48" s="69">
        <f t="shared" si="21"/>
        <v>257626.45740194342</v>
      </c>
      <c r="O48" s="69">
        <f t="shared" si="21"/>
        <v>833236.5354752026</v>
      </c>
      <c r="P48" s="69"/>
      <c r="Q48" s="69">
        <f t="shared" si="21"/>
        <v>1201385.5988060918</v>
      </c>
      <c r="R48" s="69">
        <f t="shared" si="21"/>
        <v>157770.79289241935</v>
      </c>
      <c r="S48" s="69"/>
      <c r="T48" s="69">
        <f>SUM(T36:T47)</f>
        <v>320151.45331053826</v>
      </c>
      <c r="U48" s="46"/>
      <c r="V48" s="46"/>
      <c r="W48" s="68"/>
      <c r="X48" s="70"/>
    </row>
    <row r="49" spans="1:24" s="52" customFormat="1" ht="15.75" thickTop="1" x14ac:dyDescent="0.25">
      <c r="A49" s="48"/>
      <c r="B49" s="48"/>
      <c r="C49" s="46"/>
      <c r="D49" s="49"/>
      <c r="E49" s="49"/>
      <c r="F49" s="49"/>
      <c r="G49" s="49"/>
      <c r="H49" s="49"/>
      <c r="I49" s="49"/>
      <c r="J49" s="51"/>
      <c r="K49" s="51"/>
      <c r="L49" s="49"/>
      <c r="M49" s="49"/>
      <c r="N49" s="49"/>
      <c r="O49" s="49"/>
      <c r="P49" s="51"/>
      <c r="Q49" s="49"/>
      <c r="R49" s="51"/>
      <c r="S49" s="51"/>
      <c r="T49" s="51"/>
      <c r="U49" s="51"/>
      <c r="V49" s="51"/>
      <c r="W49" s="68"/>
    </row>
    <row r="50" spans="1:24" s="52" customFormat="1" x14ac:dyDescent="0.25">
      <c r="A50" s="48"/>
      <c r="B50" s="48"/>
      <c r="C50" s="49">
        <f>C48/W26</f>
        <v>0.75392146675508265</v>
      </c>
      <c r="D50" s="49">
        <f>D48/W26</f>
        <v>0.24607853324491721</v>
      </c>
      <c r="E50" s="49"/>
      <c r="F50" s="49"/>
      <c r="G50" s="49"/>
      <c r="H50" s="49">
        <f>H48/($D48+$E$48+$F$48)</f>
        <v>0.79999999999999982</v>
      </c>
      <c r="I50" s="49">
        <f t="shared" ref="I50:R50" si="22">I48/($D48+$E$48+$F$48)</f>
        <v>4.9999999999999989E-2</v>
      </c>
      <c r="J50" s="49">
        <f t="shared" si="22"/>
        <v>4.9999999999999989E-2</v>
      </c>
      <c r="K50" s="49"/>
      <c r="L50" s="49">
        <f t="shared" si="22"/>
        <v>3.4682673146511182E-2</v>
      </c>
      <c r="M50" s="49">
        <f t="shared" si="22"/>
        <v>5.9795126038340975E-3</v>
      </c>
      <c r="N50" s="49">
        <f t="shared" si="22"/>
        <v>5.5184289236031286E-3</v>
      </c>
      <c r="O50" s="49">
        <f t="shared" si="22"/>
        <v>1.7848153656032598E-2</v>
      </c>
      <c r="P50" s="49"/>
      <c r="Q50" s="49">
        <f t="shared" si="22"/>
        <v>2.5734006917263883E-2</v>
      </c>
      <c r="R50" s="49">
        <f t="shared" si="22"/>
        <v>3.3794933780382686E-3</v>
      </c>
      <c r="S50" s="49"/>
      <c r="T50" s="49">
        <f>T48/($D48+$E$48+$F$48)</f>
        <v>6.8577313747168094E-3</v>
      </c>
      <c r="U50" s="49"/>
      <c r="V50" s="49"/>
      <c r="W50" s="68"/>
    </row>
    <row r="51" spans="1:24" s="52" customFormat="1" x14ac:dyDescent="0.25">
      <c r="A51" s="48"/>
      <c r="B51" s="48"/>
      <c r="C51" s="49"/>
      <c r="D51" s="49"/>
      <c r="E51" s="51"/>
      <c r="F51" s="46"/>
      <c r="G51" s="51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1"/>
      <c r="V51" s="51"/>
      <c r="W51" s="68"/>
      <c r="X51" s="70"/>
    </row>
    <row r="52" spans="1:24" s="52" customFormat="1" x14ac:dyDescent="0.25">
      <c r="A52" s="71" t="s">
        <v>55</v>
      </c>
      <c r="B52" s="48"/>
      <c r="C52" s="49"/>
      <c r="D52" s="49"/>
      <c r="E52" s="51"/>
      <c r="F52" s="51"/>
      <c r="G52" s="51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1"/>
      <c r="V52" s="51"/>
      <c r="W52" s="68"/>
      <c r="X52" s="70"/>
    </row>
    <row r="53" spans="1:24" s="52" customFormat="1" x14ac:dyDescent="0.25">
      <c r="A53" s="72" t="s">
        <v>78</v>
      </c>
      <c r="B53" s="73"/>
      <c r="C53" s="74"/>
      <c r="D53" s="74"/>
      <c r="E53" s="54"/>
      <c r="F53" s="54"/>
      <c r="G53" s="5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54"/>
      <c r="V53" s="54"/>
      <c r="W53" s="54"/>
      <c r="X53" s="70"/>
    </row>
    <row r="54" spans="1:24" s="52" customFormat="1" x14ac:dyDescent="0.25">
      <c r="A54" s="72" t="s">
        <v>57</v>
      </c>
      <c r="B54" s="73"/>
      <c r="C54" s="74"/>
      <c r="D54" s="74"/>
      <c r="E54" s="54"/>
      <c r="F54" s="54"/>
      <c r="G54" s="5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54"/>
      <c r="V54" s="54"/>
      <c r="W54" s="54"/>
    </row>
    <row r="55" spans="1:24" s="52" customFormat="1" x14ac:dyDescent="0.25">
      <c r="A55" s="72"/>
      <c r="B55" s="73"/>
      <c r="C55" s="74"/>
      <c r="D55" s="74"/>
      <c r="E55" s="54"/>
      <c r="F55" s="54"/>
      <c r="G55" s="54"/>
      <c r="H55" s="75"/>
      <c r="I55" s="75"/>
      <c r="J55" s="75"/>
      <c r="K55" s="74"/>
      <c r="L55" s="76"/>
      <c r="M55" s="76"/>
      <c r="N55" s="76"/>
      <c r="O55" s="76"/>
      <c r="P55" s="74"/>
      <c r="Q55" s="76"/>
      <c r="R55" s="76"/>
      <c r="S55" s="76"/>
      <c r="T55" s="76"/>
      <c r="U55" s="77"/>
      <c r="V55" s="77"/>
      <c r="W55" s="77"/>
    </row>
    <row r="56" spans="1:24" s="52" customFormat="1" ht="15" customHeight="1" x14ac:dyDescent="0.25">
      <c r="A56" s="72" t="s">
        <v>58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1:24" s="52" customFormat="1" x14ac:dyDescent="0.25">
      <c r="A57" s="54"/>
      <c r="B57" s="73"/>
      <c r="C57" s="74"/>
      <c r="D57" s="79"/>
      <c r="E57" s="54"/>
      <c r="F57" s="54"/>
      <c r="G57" s="5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54"/>
      <c r="V57" s="54"/>
      <c r="W57" s="54"/>
    </row>
    <row r="58" spans="1:24" ht="15" customHeight="1" x14ac:dyDescent="0.25">
      <c r="A58" s="80" t="s">
        <v>59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32"/>
      <c r="P58" s="32"/>
      <c r="Q58" s="32"/>
      <c r="R58" s="32"/>
      <c r="S58" s="32"/>
      <c r="T58" s="32"/>
      <c r="U58" s="36"/>
      <c r="V58" s="36"/>
      <c r="W58" s="36"/>
    </row>
    <row r="59" spans="1:24" x14ac:dyDescent="0.25">
      <c r="A59" s="80" t="s">
        <v>74</v>
      </c>
      <c r="B59" s="5"/>
      <c r="C59" s="32"/>
      <c r="D59" s="32"/>
      <c r="E59" s="32"/>
      <c r="F59" s="32"/>
      <c r="G59" s="32"/>
      <c r="H59" s="32"/>
      <c r="I59" s="35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6"/>
      <c r="V59" s="36"/>
      <c r="W59" s="36"/>
    </row>
    <row r="60" spans="1:24" x14ac:dyDescent="0.25">
      <c r="A60" s="5"/>
      <c r="B60" s="5"/>
      <c r="C60" s="32"/>
      <c r="D60" s="32"/>
      <c r="E60" s="32"/>
      <c r="F60" s="32"/>
      <c r="G60" s="32"/>
      <c r="H60" s="32"/>
      <c r="I60" s="35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6"/>
      <c r="V60" s="36"/>
      <c r="W60" s="36"/>
    </row>
    <row r="61" spans="1:24" x14ac:dyDescent="0.25">
      <c r="A61" s="80" t="s">
        <v>61</v>
      </c>
      <c r="B61" s="5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6"/>
      <c r="V61" s="36"/>
      <c r="W61" s="36"/>
    </row>
    <row r="62" spans="1:24" x14ac:dyDescent="0.25">
      <c r="A62" s="80"/>
      <c r="B62" s="5"/>
      <c r="C62" s="32"/>
      <c r="D62" s="32"/>
      <c r="E62" s="32"/>
      <c r="F62" s="32"/>
      <c r="G62" s="32"/>
      <c r="H62" s="32"/>
      <c r="I62" s="35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6"/>
      <c r="V62" s="36"/>
      <c r="W62" s="36"/>
    </row>
    <row r="63" spans="1:24" x14ac:dyDescent="0.25">
      <c r="A63" s="80" t="s">
        <v>75</v>
      </c>
      <c r="B63" s="5"/>
      <c r="C63" s="32"/>
      <c r="D63" s="32"/>
      <c r="E63" s="32"/>
      <c r="F63" s="32"/>
      <c r="G63" s="32"/>
      <c r="H63" s="32"/>
      <c r="I63" s="35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6"/>
      <c r="V63" s="36"/>
      <c r="W63" s="36"/>
    </row>
    <row r="64" spans="1:24" x14ac:dyDescent="0.25">
      <c r="A64" s="81"/>
      <c r="B64" s="82"/>
      <c r="C64" s="83"/>
      <c r="D64" s="83"/>
      <c r="E64" s="83"/>
      <c r="F64" s="83"/>
      <c r="G64" s="83"/>
      <c r="H64" s="83"/>
      <c r="I64" s="84"/>
      <c r="J64" s="83"/>
      <c r="K64" s="83"/>
      <c r="L64" s="83"/>
      <c r="M64" s="83"/>
      <c r="N64" s="83"/>
      <c r="O64" s="83"/>
    </row>
    <row r="65" spans="1:1" x14ac:dyDescent="0.25">
      <c r="A65" s="100" t="s">
        <v>71</v>
      </c>
    </row>
  </sheetData>
  <mergeCells count="13">
    <mergeCell ref="L34:W34"/>
    <mergeCell ref="A1:W1"/>
    <mergeCell ref="A2:W2"/>
    <mergeCell ref="A3:W3"/>
    <mergeCell ref="A4:W4"/>
    <mergeCell ref="A5:W5"/>
    <mergeCell ref="A8:W8"/>
    <mergeCell ref="C10:I10"/>
    <mergeCell ref="L10:O10"/>
    <mergeCell ref="Q10:R10"/>
    <mergeCell ref="A30:W30"/>
    <mergeCell ref="H32:T32"/>
    <mergeCell ref="T10:U10"/>
  </mergeCells>
  <hyperlinks>
    <hyperlink ref="A4" r:id="rId1" xr:uid="{B4F519A1-33D2-477E-B6BA-97FB866F8F42}"/>
  </hyperlinks>
  <printOptions horizontalCentered="1" verticalCentered="1"/>
  <pageMargins left="0" right="0" top="0.25" bottom="0.25" header="0.3" footer="0.3"/>
  <pageSetup scale="51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0EABA-CFD2-4BB0-BB68-F475CBEE0BEA}">
  <sheetPr>
    <pageSetUpPr fitToPage="1"/>
  </sheetPr>
  <dimension ref="A1:W65"/>
  <sheetViews>
    <sheetView topLeftCell="A7" zoomScale="90" zoomScaleNormal="90" workbookViewId="0">
      <selection activeCell="I22" sqref="I22"/>
    </sheetView>
  </sheetViews>
  <sheetFormatPr defaultRowHeight="15" x14ac:dyDescent="0.25"/>
  <cols>
    <col min="1" max="1" width="9.28515625" style="86" customWidth="1"/>
    <col min="2" max="2" width="1.7109375" style="86" customWidth="1"/>
    <col min="3" max="3" width="15.5703125" style="85" bestFit="1" customWidth="1"/>
    <col min="4" max="4" width="13.5703125" style="85" customWidth="1"/>
    <col min="5" max="5" width="15.5703125" style="85" bestFit="1" customWidth="1"/>
    <col min="6" max="6" width="16.28515625" style="85" bestFit="1" customWidth="1"/>
    <col min="7" max="7" width="1.85546875" style="85" customWidth="1"/>
    <col min="8" max="8" width="15" style="85" customWidth="1"/>
    <col min="9" max="9" width="11.7109375" style="67" customWidth="1"/>
    <col min="10" max="10" width="12.140625" style="85" bestFit="1" customWidth="1"/>
    <col min="11" max="11" width="1.140625" style="85" customWidth="1"/>
    <col min="12" max="12" width="11.7109375" style="85" customWidth="1"/>
    <col min="13" max="13" width="17.7109375" style="85" customWidth="1"/>
    <col min="14" max="14" width="11.5703125" style="85" customWidth="1"/>
    <col min="15" max="15" width="12.42578125" style="85" customWidth="1"/>
    <col min="16" max="16" width="3.42578125" style="85" customWidth="1"/>
    <col min="17" max="17" width="15" style="85" customWidth="1"/>
    <col min="18" max="18" width="12.140625" style="85" customWidth="1"/>
    <col min="19" max="19" width="3.42578125" style="85" customWidth="1"/>
    <col min="20" max="20" width="16" style="85" bestFit="1" customWidth="1"/>
    <col min="21" max="21" width="3.42578125" style="1" customWidth="1"/>
    <col min="22" max="22" width="14.42578125" style="1" customWidth="1"/>
    <col min="23" max="23" width="15" style="1" customWidth="1"/>
    <col min="24" max="259" width="9.140625" style="1"/>
    <col min="260" max="260" width="9.28515625" style="1" customWidth="1"/>
    <col min="261" max="261" width="1.7109375" style="1" customWidth="1"/>
    <col min="262" max="265" width="12" style="1" customWidth="1"/>
    <col min="266" max="266" width="11.85546875" style="1" customWidth="1"/>
    <col min="267" max="267" width="10.7109375" style="1" customWidth="1"/>
    <col min="268" max="268" width="10.5703125" style="1" customWidth="1"/>
    <col min="269" max="269" width="1.140625" style="1" customWidth="1"/>
    <col min="270" max="270" width="11.28515625" style="1" customWidth="1"/>
    <col min="271" max="271" width="12.7109375" style="1" customWidth="1"/>
    <col min="272" max="272" width="11.5703125" style="1" customWidth="1"/>
    <col min="273" max="273" width="12.42578125" style="1" customWidth="1"/>
    <col min="274" max="274" width="1.5703125" style="1" customWidth="1"/>
    <col min="275" max="275" width="11.42578125" style="1" customWidth="1"/>
    <col min="276" max="276" width="12.140625" style="1" customWidth="1"/>
    <col min="277" max="277" width="1.7109375" style="1" customWidth="1"/>
    <col min="278" max="278" width="13.5703125" style="1" customWidth="1"/>
    <col min="279" max="515" width="9.140625" style="1"/>
    <col min="516" max="516" width="9.28515625" style="1" customWidth="1"/>
    <col min="517" max="517" width="1.7109375" style="1" customWidth="1"/>
    <col min="518" max="521" width="12" style="1" customWidth="1"/>
    <col min="522" max="522" width="11.85546875" style="1" customWidth="1"/>
    <col min="523" max="523" width="10.7109375" style="1" customWidth="1"/>
    <col min="524" max="524" width="10.5703125" style="1" customWidth="1"/>
    <col min="525" max="525" width="1.140625" style="1" customWidth="1"/>
    <col min="526" max="526" width="11.28515625" style="1" customWidth="1"/>
    <col min="527" max="527" width="12.7109375" style="1" customWidth="1"/>
    <col min="528" max="528" width="11.5703125" style="1" customWidth="1"/>
    <col min="529" max="529" width="12.42578125" style="1" customWidth="1"/>
    <col min="530" max="530" width="1.5703125" style="1" customWidth="1"/>
    <col min="531" max="531" width="11.42578125" style="1" customWidth="1"/>
    <col min="532" max="532" width="12.140625" style="1" customWidth="1"/>
    <col min="533" max="533" width="1.7109375" style="1" customWidth="1"/>
    <col min="534" max="534" width="13.5703125" style="1" customWidth="1"/>
    <col min="535" max="771" width="9.140625" style="1"/>
    <col min="772" max="772" width="9.28515625" style="1" customWidth="1"/>
    <col min="773" max="773" width="1.7109375" style="1" customWidth="1"/>
    <col min="774" max="777" width="12" style="1" customWidth="1"/>
    <col min="778" max="778" width="11.85546875" style="1" customWidth="1"/>
    <col min="779" max="779" width="10.7109375" style="1" customWidth="1"/>
    <col min="780" max="780" width="10.5703125" style="1" customWidth="1"/>
    <col min="781" max="781" width="1.140625" style="1" customWidth="1"/>
    <col min="782" max="782" width="11.28515625" style="1" customWidth="1"/>
    <col min="783" max="783" width="12.7109375" style="1" customWidth="1"/>
    <col min="784" max="784" width="11.5703125" style="1" customWidth="1"/>
    <col min="785" max="785" width="12.42578125" style="1" customWidth="1"/>
    <col min="786" max="786" width="1.5703125" style="1" customWidth="1"/>
    <col min="787" max="787" width="11.42578125" style="1" customWidth="1"/>
    <col min="788" max="788" width="12.140625" style="1" customWidth="1"/>
    <col min="789" max="789" width="1.7109375" style="1" customWidth="1"/>
    <col min="790" max="790" width="13.5703125" style="1" customWidth="1"/>
    <col min="791" max="1027" width="9.140625" style="1"/>
    <col min="1028" max="1028" width="9.28515625" style="1" customWidth="1"/>
    <col min="1029" max="1029" width="1.7109375" style="1" customWidth="1"/>
    <col min="1030" max="1033" width="12" style="1" customWidth="1"/>
    <col min="1034" max="1034" width="11.85546875" style="1" customWidth="1"/>
    <col min="1035" max="1035" width="10.7109375" style="1" customWidth="1"/>
    <col min="1036" max="1036" width="10.5703125" style="1" customWidth="1"/>
    <col min="1037" max="1037" width="1.140625" style="1" customWidth="1"/>
    <col min="1038" max="1038" width="11.28515625" style="1" customWidth="1"/>
    <col min="1039" max="1039" width="12.7109375" style="1" customWidth="1"/>
    <col min="1040" max="1040" width="11.5703125" style="1" customWidth="1"/>
    <col min="1041" max="1041" width="12.42578125" style="1" customWidth="1"/>
    <col min="1042" max="1042" width="1.5703125" style="1" customWidth="1"/>
    <col min="1043" max="1043" width="11.42578125" style="1" customWidth="1"/>
    <col min="1044" max="1044" width="12.140625" style="1" customWidth="1"/>
    <col min="1045" max="1045" width="1.7109375" style="1" customWidth="1"/>
    <col min="1046" max="1046" width="13.5703125" style="1" customWidth="1"/>
    <col min="1047" max="1283" width="9.140625" style="1"/>
    <col min="1284" max="1284" width="9.28515625" style="1" customWidth="1"/>
    <col min="1285" max="1285" width="1.7109375" style="1" customWidth="1"/>
    <col min="1286" max="1289" width="12" style="1" customWidth="1"/>
    <col min="1290" max="1290" width="11.85546875" style="1" customWidth="1"/>
    <col min="1291" max="1291" width="10.7109375" style="1" customWidth="1"/>
    <col min="1292" max="1292" width="10.5703125" style="1" customWidth="1"/>
    <col min="1293" max="1293" width="1.140625" style="1" customWidth="1"/>
    <col min="1294" max="1294" width="11.28515625" style="1" customWidth="1"/>
    <col min="1295" max="1295" width="12.7109375" style="1" customWidth="1"/>
    <col min="1296" max="1296" width="11.5703125" style="1" customWidth="1"/>
    <col min="1297" max="1297" width="12.42578125" style="1" customWidth="1"/>
    <col min="1298" max="1298" width="1.5703125" style="1" customWidth="1"/>
    <col min="1299" max="1299" width="11.42578125" style="1" customWidth="1"/>
    <col min="1300" max="1300" width="12.140625" style="1" customWidth="1"/>
    <col min="1301" max="1301" width="1.7109375" style="1" customWidth="1"/>
    <col min="1302" max="1302" width="13.5703125" style="1" customWidth="1"/>
    <col min="1303" max="1539" width="9.140625" style="1"/>
    <col min="1540" max="1540" width="9.28515625" style="1" customWidth="1"/>
    <col min="1541" max="1541" width="1.7109375" style="1" customWidth="1"/>
    <col min="1542" max="1545" width="12" style="1" customWidth="1"/>
    <col min="1546" max="1546" width="11.85546875" style="1" customWidth="1"/>
    <col min="1547" max="1547" width="10.7109375" style="1" customWidth="1"/>
    <col min="1548" max="1548" width="10.5703125" style="1" customWidth="1"/>
    <col min="1549" max="1549" width="1.140625" style="1" customWidth="1"/>
    <col min="1550" max="1550" width="11.28515625" style="1" customWidth="1"/>
    <col min="1551" max="1551" width="12.7109375" style="1" customWidth="1"/>
    <col min="1552" max="1552" width="11.5703125" style="1" customWidth="1"/>
    <col min="1553" max="1553" width="12.42578125" style="1" customWidth="1"/>
    <col min="1554" max="1554" width="1.5703125" style="1" customWidth="1"/>
    <col min="1555" max="1555" width="11.42578125" style="1" customWidth="1"/>
    <col min="1556" max="1556" width="12.140625" style="1" customWidth="1"/>
    <col min="1557" max="1557" width="1.7109375" style="1" customWidth="1"/>
    <col min="1558" max="1558" width="13.5703125" style="1" customWidth="1"/>
    <col min="1559" max="1795" width="9.140625" style="1"/>
    <col min="1796" max="1796" width="9.28515625" style="1" customWidth="1"/>
    <col min="1797" max="1797" width="1.7109375" style="1" customWidth="1"/>
    <col min="1798" max="1801" width="12" style="1" customWidth="1"/>
    <col min="1802" max="1802" width="11.85546875" style="1" customWidth="1"/>
    <col min="1803" max="1803" width="10.7109375" style="1" customWidth="1"/>
    <col min="1804" max="1804" width="10.5703125" style="1" customWidth="1"/>
    <col min="1805" max="1805" width="1.140625" style="1" customWidth="1"/>
    <col min="1806" max="1806" width="11.28515625" style="1" customWidth="1"/>
    <col min="1807" max="1807" width="12.7109375" style="1" customWidth="1"/>
    <col min="1808" max="1808" width="11.5703125" style="1" customWidth="1"/>
    <col min="1809" max="1809" width="12.42578125" style="1" customWidth="1"/>
    <col min="1810" max="1810" width="1.5703125" style="1" customWidth="1"/>
    <col min="1811" max="1811" width="11.42578125" style="1" customWidth="1"/>
    <col min="1812" max="1812" width="12.140625" style="1" customWidth="1"/>
    <col min="1813" max="1813" width="1.7109375" style="1" customWidth="1"/>
    <col min="1814" max="1814" width="13.5703125" style="1" customWidth="1"/>
    <col min="1815" max="2051" width="9.140625" style="1"/>
    <col min="2052" max="2052" width="9.28515625" style="1" customWidth="1"/>
    <col min="2053" max="2053" width="1.7109375" style="1" customWidth="1"/>
    <col min="2054" max="2057" width="12" style="1" customWidth="1"/>
    <col min="2058" max="2058" width="11.85546875" style="1" customWidth="1"/>
    <col min="2059" max="2059" width="10.7109375" style="1" customWidth="1"/>
    <col min="2060" max="2060" width="10.5703125" style="1" customWidth="1"/>
    <col min="2061" max="2061" width="1.140625" style="1" customWidth="1"/>
    <col min="2062" max="2062" width="11.28515625" style="1" customWidth="1"/>
    <col min="2063" max="2063" width="12.7109375" style="1" customWidth="1"/>
    <col min="2064" max="2064" width="11.5703125" style="1" customWidth="1"/>
    <col min="2065" max="2065" width="12.42578125" style="1" customWidth="1"/>
    <col min="2066" max="2066" width="1.5703125" style="1" customWidth="1"/>
    <col min="2067" max="2067" width="11.42578125" style="1" customWidth="1"/>
    <col min="2068" max="2068" width="12.140625" style="1" customWidth="1"/>
    <col min="2069" max="2069" width="1.7109375" style="1" customWidth="1"/>
    <col min="2070" max="2070" width="13.5703125" style="1" customWidth="1"/>
    <col min="2071" max="2307" width="9.140625" style="1"/>
    <col min="2308" max="2308" width="9.28515625" style="1" customWidth="1"/>
    <col min="2309" max="2309" width="1.7109375" style="1" customWidth="1"/>
    <col min="2310" max="2313" width="12" style="1" customWidth="1"/>
    <col min="2314" max="2314" width="11.85546875" style="1" customWidth="1"/>
    <col min="2315" max="2315" width="10.7109375" style="1" customWidth="1"/>
    <col min="2316" max="2316" width="10.5703125" style="1" customWidth="1"/>
    <col min="2317" max="2317" width="1.140625" style="1" customWidth="1"/>
    <col min="2318" max="2318" width="11.28515625" style="1" customWidth="1"/>
    <col min="2319" max="2319" width="12.7109375" style="1" customWidth="1"/>
    <col min="2320" max="2320" width="11.5703125" style="1" customWidth="1"/>
    <col min="2321" max="2321" width="12.42578125" style="1" customWidth="1"/>
    <col min="2322" max="2322" width="1.5703125" style="1" customWidth="1"/>
    <col min="2323" max="2323" width="11.42578125" style="1" customWidth="1"/>
    <col min="2324" max="2324" width="12.140625" style="1" customWidth="1"/>
    <col min="2325" max="2325" width="1.7109375" style="1" customWidth="1"/>
    <col min="2326" max="2326" width="13.5703125" style="1" customWidth="1"/>
    <col min="2327" max="2563" width="9.140625" style="1"/>
    <col min="2564" max="2564" width="9.28515625" style="1" customWidth="1"/>
    <col min="2565" max="2565" width="1.7109375" style="1" customWidth="1"/>
    <col min="2566" max="2569" width="12" style="1" customWidth="1"/>
    <col min="2570" max="2570" width="11.85546875" style="1" customWidth="1"/>
    <col min="2571" max="2571" width="10.7109375" style="1" customWidth="1"/>
    <col min="2572" max="2572" width="10.5703125" style="1" customWidth="1"/>
    <col min="2573" max="2573" width="1.140625" style="1" customWidth="1"/>
    <col min="2574" max="2574" width="11.28515625" style="1" customWidth="1"/>
    <col min="2575" max="2575" width="12.7109375" style="1" customWidth="1"/>
    <col min="2576" max="2576" width="11.5703125" style="1" customWidth="1"/>
    <col min="2577" max="2577" width="12.42578125" style="1" customWidth="1"/>
    <col min="2578" max="2578" width="1.5703125" style="1" customWidth="1"/>
    <col min="2579" max="2579" width="11.42578125" style="1" customWidth="1"/>
    <col min="2580" max="2580" width="12.140625" style="1" customWidth="1"/>
    <col min="2581" max="2581" width="1.7109375" style="1" customWidth="1"/>
    <col min="2582" max="2582" width="13.5703125" style="1" customWidth="1"/>
    <col min="2583" max="2819" width="9.140625" style="1"/>
    <col min="2820" max="2820" width="9.28515625" style="1" customWidth="1"/>
    <col min="2821" max="2821" width="1.7109375" style="1" customWidth="1"/>
    <col min="2822" max="2825" width="12" style="1" customWidth="1"/>
    <col min="2826" max="2826" width="11.85546875" style="1" customWidth="1"/>
    <col min="2827" max="2827" width="10.7109375" style="1" customWidth="1"/>
    <col min="2828" max="2828" width="10.5703125" style="1" customWidth="1"/>
    <col min="2829" max="2829" width="1.140625" style="1" customWidth="1"/>
    <col min="2830" max="2830" width="11.28515625" style="1" customWidth="1"/>
    <col min="2831" max="2831" width="12.7109375" style="1" customWidth="1"/>
    <col min="2832" max="2832" width="11.5703125" style="1" customWidth="1"/>
    <col min="2833" max="2833" width="12.42578125" style="1" customWidth="1"/>
    <col min="2834" max="2834" width="1.5703125" style="1" customWidth="1"/>
    <col min="2835" max="2835" width="11.42578125" style="1" customWidth="1"/>
    <col min="2836" max="2836" width="12.140625" style="1" customWidth="1"/>
    <col min="2837" max="2837" width="1.7109375" style="1" customWidth="1"/>
    <col min="2838" max="2838" width="13.5703125" style="1" customWidth="1"/>
    <col min="2839" max="3075" width="9.140625" style="1"/>
    <col min="3076" max="3076" width="9.28515625" style="1" customWidth="1"/>
    <col min="3077" max="3077" width="1.7109375" style="1" customWidth="1"/>
    <col min="3078" max="3081" width="12" style="1" customWidth="1"/>
    <col min="3082" max="3082" width="11.85546875" style="1" customWidth="1"/>
    <col min="3083" max="3083" width="10.7109375" style="1" customWidth="1"/>
    <col min="3084" max="3084" width="10.5703125" style="1" customWidth="1"/>
    <col min="3085" max="3085" width="1.140625" style="1" customWidth="1"/>
    <col min="3086" max="3086" width="11.28515625" style="1" customWidth="1"/>
    <col min="3087" max="3087" width="12.7109375" style="1" customWidth="1"/>
    <col min="3088" max="3088" width="11.5703125" style="1" customWidth="1"/>
    <col min="3089" max="3089" width="12.42578125" style="1" customWidth="1"/>
    <col min="3090" max="3090" width="1.5703125" style="1" customWidth="1"/>
    <col min="3091" max="3091" width="11.42578125" style="1" customWidth="1"/>
    <col min="3092" max="3092" width="12.140625" style="1" customWidth="1"/>
    <col min="3093" max="3093" width="1.7109375" style="1" customWidth="1"/>
    <col min="3094" max="3094" width="13.5703125" style="1" customWidth="1"/>
    <col min="3095" max="3331" width="9.140625" style="1"/>
    <col min="3332" max="3332" width="9.28515625" style="1" customWidth="1"/>
    <col min="3333" max="3333" width="1.7109375" style="1" customWidth="1"/>
    <col min="3334" max="3337" width="12" style="1" customWidth="1"/>
    <col min="3338" max="3338" width="11.85546875" style="1" customWidth="1"/>
    <col min="3339" max="3339" width="10.7109375" style="1" customWidth="1"/>
    <col min="3340" max="3340" width="10.5703125" style="1" customWidth="1"/>
    <col min="3341" max="3341" width="1.140625" style="1" customWidth="1"/>
    <col min="3342" max="3342" width="11.28515625" style="1" customWidth="1"/>
    <col min="3343" max="3343" width="12.7109375" style="1" customWidth="1"/>
    <col min="3344" max="3344" width="11.5703125" style="1" customWidth="1"/>
    <col min="3345" max="3345" width="12.42578125" style="1" customWidth="1"/>
    <col min="3346" max="3346" width="1.5703125" style="1" customWidth="1"/>
    <col min="3347" max="3347" width="11.42578125" style="1" customWidth="1"/>
    <col min="3348" max="3348" width="12.140625" style="1" customWidth="1"/>
    <col min="3349" max="3349" width="1.7109375" style="1" customWidth="1"/>
    <col min="3350" max="3350" width="13.5703125" style="1" customWidth="1"/>
    <col min="3351" max="3587" width="9.140625" style="1"/>
    <col min="3588" max="3588" width="9.28515625" style="1" customWidth="1"/>
    <col min="3589" max="3589" width="1.7109375" style="1" customWidth="1"/>
    <col min="3590" max="3593" width="12" style="1" customWidth="1"/>
    <col min="3594" max="3594" width="11.85546875" style="1" customWidth="1"/>
    <col min="3595" max="3595" width="10.7109375" style="1" customWidth="1"/>
    <col min="3596" max="3596" width="10.5703125" style="1" customWidth="1"/>
    <col min="3597" max="3597" width="1.140625" style="1" customWidth="1"/>
    <col min="3598" max="3598" width="11.28515625" style="1" customWidth="1"/>
    <col min="3599" max="3599" width="12.7109375" style="1" customWidth="1"/>
    <col min="3600" max="3600" width="11.5703125" style="1" customWidth="1"/>
    <col min="3601" max="3601" width="12.42578125" style="1" customWidth="1"/>
    <col min="3602" max="3602" width="1.5703125" style="1" customWidth="1"/>
    <col min="3603" max="3603" width="11.42578125" style="1" customWidth="1"/>
    <col min="3604" max="3604" width="12.140625" style="1" customWidth="1"/>
    <col min="3605" max="3605" width="1.7109375" style="1" customWidth="1"/>
    <col min="3606" max="3606" width="13.5703125" style="1" customWidth="1"/>
    <col min="3607" max="3843" width="9.140625" style="1"/>
    <col min="3844" max="3844" width="9.28515625" style="1" customWidth="1"/>
    <col min="3845" max="3845" width="1.7109375" style="1" customWidth="1"/>
    <col min="3846" max="3849" width="12" style="1" customWidth="1"/>
    <col min="3850" max="3850" width="11.85546875" style="1" customWidth="1"/>
    <col min="3851" max="3851" width="10.7109375" style="1" customWidth="1"/>
    <col min="3852" max="3852" width="10.5703125" style="1" customWidth="1"/>
    <col min="3853" max="3853" width="1.140625" style="1" customWidth="1"/>
    <col min="3854" max="3854" width="11.28515625" style="1" customWidth="1"/>
    <col min="3855" max="3855" width="12.7109375" style="1" customWidth="1"/>
    <col min="3856" max="3856" width="11.5703125" style="1" customWidth="1"/>
    <col min="3857" max="3857" width="12.42578125" style="1" customWidth="1"/>
    <col min="3858" max="3858" width="1.5703125" style="1" customWidth="1"/>
    <col min="3859" max="3859" width="11.42578125" style="1" customWidth="1"/>
    <col min="3860" max="3860" width="12.140625" style="1" customWidth="1"/>
    <col min="3861" max="3861" width="1.7109375" style="1" customWidth="1"/>
    <col min="3862" max="3862" width="13.5703125" style="1" customWidth="1"/>
    <col min="3863" max="4099" width="9.140625" style="1"/>
    <col min="4100" max="4100" width="9.28515625" style="1" customWidth="1"/>
    <col min="4101" max="4101" width="1.7109375" style="1" customWidth="1"/>
    <col min="4102" max="4105" width="12" style="1" customWidth="1"/>
    <col min="4106" max="4106" width="11.85546875" style="1" customWidth="1"/>
    <col min="4107" max="4107" width="10.7109375" style="1" customWidth="1"/>
    <col min="4108" max="4108" width="10.5703125" style="1" customWidth="1"/>
    <col min="4109" max="4109" width="1.140625" style="1" customWidth="1"/>
    <col min="4110" max="4110" width="11.28515625" style="1" customWidth="1"/>
    <col min="4111" max="4111" width="12.7109375" style="1" customWidth="1"/>
    <col min="4112" max="4112" width="11.5703125" style="1" customWidth="1"/>
    <col min="4113" max="4113" width="12.42578125" style="1" customWidth="1"/>
    <col min="4114" max="4114" width="1.5703125" style="1" customWidth="1"/>
    <col min="4115" max="4115" width="11.42578125" style="1" customWidth="1"/>
    <col min="4116" max="4116" width="12.140625" style="1" customWidth="1"/>
    <col min="4117" max="4117" width="1.7109375" style="1" customWidth="1"/>
    <col min="4118" max="4118" width="13.5703125" style="1" customWidth="1"/>
    <col min="4119" max="4355" width="9.140625" style="1"/>
    <col min="4356" max="4356" width="9.28515625" style="1" customWidth="1"/>
    <col min="4357" max="4357" width="1.7109375" style="1" customWidth="1"/>
    <col min="4358" max="4361" width="12" style="1" customWidth="1"/>
    <col min="4362" max="4362" width="11.85546875" style="1" customWidth="1"/>
    <col min="4363" max="4363" width="10.7109375" style="1" customWidth="1"/>
    <col min="4364" max="4364" width="10.5703125" style="1" customWidth="1"/>
    <col min="4365" max="4365" width="1.140625" style="1" customWidth="1"/>
    <col min="4366" max="4366" width="11.28515625" style="1" customWidth="1"/>
    <col min="4367" max="4367" width="12.7109375" style="1" customWidth="1"/>
    <col min="4368" max="4368" width="11.5703125" style="1" customWidth="1"/>
    <col min="4369" max="4369" width="12.42578125" style="1" customWidth="1"/>
    <col min="4370" max="4370" width="1.5703125" style="1" customWidth="1"/>
    <col min="4371" max="4371" width="11.42578125" style="1" customWidth="1"/>
    <col min="4372" max="4372" width="12.140625" style="1" customWidth="1"/>
    <col min="4373" max="4373" width="1.7109375" style="1" customWidth="1"/>
    <col min="4374" max="4374" width="13.5703125" style="1" customWidth="1"/>
    <col min="4375" max="4611" width="9.140625" style="1"/>
    <col min="4612" max="4612" width="9.28515625" style="1" customWidth="1"/>
    <col min="4613" max="4613" width="1.7109375" style="1" customWidth="1"/>
    <col min="4614" max="4617" width="12" style="1" customWidth="1"/>
    <col min="4618" max="4618" width="11.85546875" style="1" customWidth="1"/>
    <col min="4619" max="4619" width="10.7109375" style="1" customWidth="1"/>
    <col min="4620" max="4620" width="10.5703125" style="1" customWidth="1"/>
    <col min="4621" max="4621" width="1.140625" style="1" customWidth="1"/>
    <col min="4622" max="4622" width="11.28515625" style="1" customWidth="1"/>
    <col min="4623" max="4623" width="12.7109375" style="1" customWidth="1"/>
    <col min="4624" max="4624" width="11.5703125" style="1" customWidth="1"/>
    <col min="4625" max="4625" width="12.42578125" style="1" customWidth="1"/>
    <col min="4626" max="4626" width="1.5703125" style="1" customWidth="1"/>
    <col min="4627" max="4627" width="11.42578125" style="1" customWidth="1"/>
    <col min="4628" max="4628" width="12.140625" style="1" customWidth="1"/>
    <col min="4629" max="4629" width="1.7109375" style="1" customWidth="1"/>
    <col min="4630" max="4630" width="13.5703125" style="1" customWidth="1"/>
    <col min="4631" max="4867" width="9.140625" style="1"/>
    <col min="4868" max="4868" width="9.28515625" style="1" customWidth="1"/>
    <col min="4869" max="4869" width="1.7109375" style="1" customWidth="1"/>
    <col min="4870" max="4873" width="12" style="1" customWidth="1"/>
    <col min="4874" max="4874" width="11.85546875" style="1" customWidth="1"/>
    <col min="4875" max="4875" width="10.7109375" style="1" customWidth="1"/>
    <col min="4876" max="4876" width="10.5703125" style="1" customWidth="1"/>
    <col min="4877" max="4877" width="1.140625" style="1" customWidth="1"/>
    <col min="4878" max="4878" width="11.28515625" style="1" customWidth="1"/>
    <col min="4879" max="4879" width="12.7109375" style="1" customWidth="1"/>
    <col min="4880" max="4880" width="11.5703125" style="1" customWidth="1"/>
    <col min="4881" max="4881" width="12.42578125" style="1" customWidth="1"/>
    <col min="4882" max="4882" width="1.5703125" style="1" customWidth="1"/>
    <col min="4883" max="4883" width="11.42578125" style="1" customWidth="1"/>
    <col min="4884" max="4884" width="12.140625" style="1" customWidth="1"/>
    <col min="4885" max="4885" width="1.7109375" style="1" customWidth="1"/>
    <col min="4886" max="4886" width="13.5703125" style="1" customWidth="1"/>
    <col min="4887" max="5123" width="9.140625" style="1"/>
    <col min="5124" max="5124" width="9.28515625" style="1" customWidth="1"/>
    <col min="5125" max="5125" width="1.7109375" style="1" customWidth="1"/>
    <col min="5126" max="5129" width="12" style="1" customWidth="1"/>
    <col min="5130" max="5130" width="11.85546875" style="1" customWidth="1"/>
    <col min="5131" max="5131" width="10.7109375" style="1" customWidth="1"/>
    <col min="5132" max="5132" width="10.5703125" style="1" customWidth="1"/>
    <col min="5133" max="5133" width="1.140625" style="1" customWidth="1"/>
    <col min="5134" max="5134" width="11.28515625" style="1" customWidth="1"/>
    <col min="5135" max="5135" width="12.7109375" style="1" customWidth="1"/>
    <col min="5136" max="5136" width="11.5703125" style="1" customWidth="1"/>
    <col min="5137" max="5137" width="12.42578125" style="1" customWidth="1"/>
    <col min="5138" max="5138" width="1.5703125" style="1" customWidth="1"/>
    <col min="5139" max="5139" width="11.42578125" style="1" customWidth="1"/>
    <col min="5140" max="5140" width="12.140625" style="1" customWidth="1"/>
    <col min="5141" max="5141" width="1.7109375" style="1" customWidth="1"/>
    <col min="5142" max="5142" width="13.5703125" style="1" customWidth="1"/>
    <col min="5143" max="5379" width="9.140625" style="1"/>
    <col min="5380" max="5380" width="9.28515625" style="1" customWidth="1"/>
    <col min="5381" max="5381" width="1.7109375" style="1" customWidth="1"/>
    <col min="5382" max="5385" width="12" style="1" customWidth="1"/>
    <col min="5386" max="5386" width="11.85546875" style="1" customWidth="1"/>
    <col min="5387" max="5387" width="10.7109375" style="1" customWidth="1"/>
    <col min="5388" max="5388" width="10.5703125" style="1" customWidth="1"/>
    <col min="5389" max="5389" width="1.140625" style="1" customWidth="1"/>
    <col min="5390" max="5390" width="11.28515625" style="1" customWidth="1"/>
    <col min="5391" max="5391" width="12.7109375" style="1" customWidth="1"/>
    <col min="5392" max="5392" width="11.5703125" style="1" customWidth="1"/>
    <col min="5393" max="5393" width="12.42578125" style="1" customWidth="1"/>
    <col min="5394" max="5394" width="1.5703125" style="1" customWidth="1"/>
    <col min="5395" max="5395" width="11.42578125" style="1" customWidth="1"/>
    <col min="5396" max="5396" width="12.140625" style="1" customWidth="1"/>
    <col min="5397" max="5397" width="1.7109375" style="1" customWidth="1"/>
    <col min="5398" max="5398" width="13.5703125" style="1" customWidth="1"/>
    <col min="5399" max="5635" width="9.140625" style="1"/>
    <col min="5636" max="5636" width="9.28515625" style="1" customWidth="1"/>
    <col min="5637" max="5637" width="1.7109375" style="1" customWidth="1"/>
    <col min="5638" max="5641" width="12" style="1" customWidth="1"/>
    <col min="5642" max="5642" width="11.85546875" style="1" customWidth="1"/>
    <col min="5643" max="5643" width="10.7109375" style="1" customWidth="1"/>
    <col min="5644" max="5644" width="10.5703125" style="1" customWidth="1"/>
    <col min="5645" max="5645" width="1.140625" style="1" customWidth="1"/>
    <col min="5646" max="5646" width="11.28515625" style="1" customWidth="1"/>
    <col min="5647" max="5647" width="12.7109375" style="1" customWidth="1"/>
    <col min="5648" max="5648" width="11.5703125" style="1" customWidth="1"/>
    <col min="5649" max="5649" width="12.42578125" style="1" customWidth="1"/>
    <col min="5650" max="5650" width="1.5703125" style="1" customWidth="1"/>
    <col min="5651" max="5651" width="11.42578125" style="1" customWidth="1"/>
    <col min="5652" max="5652" width="12.140625" style="1" customWidth="1"/>
    <col min="5653" max="5653" width="1.7109375" style="1" customWidth="1"/>
    <col min="5654" max="5654" width="13.5703125" style="1" customWidth="1"/>
    <col min="5655" max="5891" width="9.140625" style="1"/>
    <col min="5892" max="5892" width="9.28515625" style="1" customWidth="1"/>
    <col min="5893" max="5893" width="1.7109375" style="1" customWidth="1"/>
    <col min="5894" max="5897" width="12" style="1" customWidth="1"/>
    <col min="5898" max="5898" width="11.85546875" style="1" customWidth="1"/>
    <col min="5899" max="5899" width="10.7109375" style="1" customWidth="1"/>
    <col min="5900" max="5900" width="10.5703125" style="1" customWidth="1"/>
    <col min="5901" max="5901" width="1.140625" style="1" customWidth="1"/>
    <col min="5902" max="5902" width="11.28515625" style="1" customWidth="1"/>
    <col min="5903" max="5903" width="12.7109375" style="1" customWidth="1"/>
    <col min="5904" max="5904" width="11.5703125" style="1" customWidth="1"/>
    <col min="5905" max="5905" width="12.42578125" style="1" customWidth="1"/>
    <col min="5906" max="5906" width="1.5703125" style="1" customWidth="1"/>
    <col min="5907" max="5907" width="11.42578125" style="1" customWidth="1"/>
    <col min="5908" max="5908" width="12.140625" style="1" customWidth="1"/>
    <col min="5909" max="5909" width="1.7109375" style="1" customWidth="1"/>
    <col min="5910" max="5910" width="13.5703125" style="1" customWidth="1"/>
    <col min="5911" max="6147" width="9.140625" style="1"/>
    <col min="6148" max="6148" width="9.28515625" style="1" customWidth="1"/>
    <col min="6149" max="6149" width="1.7109375" style="1" customWidth="1"/>
    <col min="6150" max="6153" width="12" style="1" customWidth="1"/>
    <col min="6154" max="6154" width="11.85546875" style="1" customWidth="1"/>
    <col min="6155" max="6155" width="10.7109375" style="1" customWidth="1"/>
    <col min="6156" max="6156" width="10.5703125" style="1" customWidth="1"/>
    <col min="6157" max="6157" width="1.140625" style="1" customWidth="1"/>
    <col min="6158" max="6158" width="11.28515625" style="1" customWidth="1"/>
    <col min="6159" max="6159" width="12.7109375" style="1" customWidth="1"/>
    <col min="6160" max="6160" width="11.5703125" style="1" customWidth="1"/>
    <col min="6161" max="6161" width="12.42578125" style="1" customWidth="1"/>
    <col min="6162" max="6162" width="1.5703125" style="1" customWidth="1"/>
    <col min="6163" max="6163" width="11.42578125" style="1" customWidth="1"/>
    <col min="6164" max="6164" width="12.140625" style="1" customWidth="1"/>
    <col min="6165" max="6165" width="1.7109375" style="1" customWidth="1"/>
    <col min="6166" max="6166" width="13.5703125" style="1" customWidth="1"/>
    <col min="6167" max="6403" width="9.140625" style="1"/>
    <col min="6404" max="6404" width="9.28515625" style="1" customWidth="1"/>
    <col min="6405" max="6405" width="1.7109375" style="1" customWidth="1"/>
    <col min="6406" max="6409" width="12" style="1" customWidth="1"/>
    <col min="6410" max="6410" width="11.85546875" style="1" customWidth="1"/>
    <col min="6411" max="6411" width="10.7109375" style="1" customWidth="1"/>
    <col min="6412" max="6412" width="10.5703125" style="1" customWidth="1"/>
    <col min="6413" max="6413" width="1.140625" style="1" customWidth="1"/>
    <col min="6414" max="6414" width="11.28515625" style="1" customWidth="1"/>
    <col min="6415" max="6415" width="12.7109375" style="1" customWidth="1"/>
    <col min="6416" max="6416" width="11.5703125" style="1" customWidth="1"/>
    <col min="6417" max="6417" width="12.42578125" style="1" customWidth="1"/>
    <col min="6418" max="6418" width="1.5703125" style="1" customWidth="1"/>
    <col min="6419" max="6419" width="11.42578125" style="1" customWidth="1"/>
    <col min="6420" max="6420" width="12.140625" style="1" customWidth="1"/>
    <col min="6421" max="6421" width="1.7109375" style="1" customWidth="1"/>
    <col min="6422" max="6422" width="13.5703125" style="1" customWidth="1"/>
    <col min="6423" max="6659" width="9.140625" style="1"/>
    <col min="6660" max="6660" width="9.28515625" style="1" customWidth="1"/>
    <col min="6661" max="6661" width="1.7109375" style="1" customWidth="1"/>
    <col min="6662" max="6665" width="12" style="1" customWidth="1"/>
    <col min="6666" max="6666" width="11.85546875" style="1" customWidth="1"/>
    <col min="6667" max="6667" width="10.7109375" style="1" customWidth="1"/>
    <col min="6668" max="6668" width="10.5703125" style="1" customWidth="1"/>
    <col min="6669" max="6669" width="1.140625" style="1" customWidth="1"/>
    <col min="6670" max="6670" width="11.28515625" style="1" customWidth="1"/>
    <col min="6671" max="6671" width="12.7109375" style="1" customWidth="1"/>
    <col min="6672" max="6672" width="11.5703125" style="1" customWidth="1"/>
    <col min="6673" max="6673" width="12.42578125" style="1" customWidth="1"/>
    <col min="6674" max="6674" width="1.5703125" style="1" customWidth="1"/>
    <col min="6675" max="6675" width="11.42578125" style="1" customWidth="1"/>
    <col min="6676" max="6676" width="12.140625" style="1" customWidth="1"/>
    <col min="6677" max="6677" width="1.7109375" style="1" customWidth="1"/>
    <col min="6678" max="6678" width="13.5703125" style="1" customWidth="1"/>
    <col min="6679" max="6915" width="9.140625" style="1"/>
    <col min="6916" max="6916" width="9.28515625" style="1" customWidth="1"/>
    <col min="6917" max="6917" width="1.7109375" style="1" customWidth="1"/>
    <col min="6918" max="6921" width="12" style="1" customWidth="1"/>
    <col min="6922" max="6922" width="11.85546875" style="1" customWidth="1"/>
    <col min="6923" max="6923" width="10.7109375" style="1" customWidth="1"/>
    <col min="6924" max="6924" width="10.5703125" style="1" customWidth="1"/>
    <col min="6925" max="6925" width="1.140625" style="1" customWidth="1"/>
    <col min="6926" max="6926" width="11.28515625" style="1" customWidth="1"/>
    <col min="6927" max="6927" width="12.7109375" style="1" customWidth="1"/>
    <col min="6928" max="6928" width="11.5703125" style="1" customWidth="1"/>
    <col min="6929" max="6929" width="12.42578125" style="1" customWidth="1"/>
    <col min="6930" max="6930" width="1.5703125" style="1" customWidth="1"/>
    <col min="6931" max="6931" width="11.42578125" style="1" customWidth="1"/>
    <col min="6932" max="6932" width="12.140625" style="1" customWidth="1"/>
    <col min="6933" max="6933" width="1.7109375" style="1" customWidth="1"/>
    <col min="6934" max="6934" width="13.5703125" style="1" customWidth="1"/>
    <col min="6935" max="7171" width="9.140625" style="1"/>
    <col min="7172" max="7172" width="9.28515625" style="1" customWidth="1"/>
    <col min="7173" max="7173" width="1.7109375" style="1" customWidth="1"/>
    <col min="7174" max="7177" width="12" style="1" customWidth="1"/>
    <col min="7178" max="7178" width="11.85546875" style="1" customWidth="1"/>
    <col min="7179" max="7179" width="10.7109375" style="1" customWidth="1"/>
    <col min="7180" max="7180" width="10.5703125" style="1" customWidth="1"/>
    <col min="7181" max="7181" width="1.140625" style="1" customWidth="1"/>
    <col min="7182" max="7182" width="11.28515625" style="1" customWidth="1"/>
    <col min="7183" max="7183" width="12.7109375" style="1" customWidth="1"/>
    <col min="7184" max="7184" width="11.5703125" style="1" customWidth="1"/>
    <col min="7185" max="7185" width="12.42578125" style="1" customWidth="1"/>
    <col min="7186" max="7186" width="1.5703125" style="1" customWidth="1"/>
    <col min="7187" max="7187" width="11.42578125" style="1" customWidth="1"/>
    <col min="7188" max="7188" width="12.140625" style="1" customWidth="1"/>
    <col min="7189" max="7189" width="1.7109375" style="1" customWidth="1"/>
    <col min="7190" max="7190" width="13.5703125" style="1" customWidth="1"/>
    <col min="7191" max="7427" width="9.140625" style="1"/>
    <col min="7428" max="7428" width="9.28515625" style="1" customWidth="1"/>
    <col min="7429" max="7429" width="1.7109375" style="1" customWidth="1"/>
    <col min="7430" max="7433" width="12" style="1" customWidth="1"/>
    <col min="7434" max="7434" width="11.85546875" style="1" customWidth="1"/>
    <col min="7435" max="7435" width="10.7109375" style="1" customWidth="1"/>
    <col min="7436" max="7436" width="10.5703125" style="1" customWidth="1"/>
    <col min="7437" max="7437" width="1.140625" style="1" customWidth="1"/>
    <col min="7438" max="7438" width="11.28515625" style="1" customWidth="1"/>
    <col min="7439" max="7439" width="12.7109375" style="1" customWidth="1"/>
    <col min="7440" max="7440" width="11.5703125" style="1" customWidth="1"/>
    <col min="7441" max="7441" width="12.42578125" style="1" customWidth="1"/>
    <col min="7442" max="7442" width="1.5703125" style="1" customWidth="1"/>
    <col min="7443" max="7443" width="11.42578125" style="1" customWidth="1"/>
    <col min="7444" max="7444" width="12.140625" style="1" customWidth="1"/>
    <col min="7445" max="7445" width="1.7109375" style="1" customWidth="1"/>
    <col min="7446" max="7446" width="13.5703125" style="1" customWidth="1"/>
    <col min="7447" max="7683" width="9.140625" style="1"/>
    <col min="7684" max="7684" width="9.28515625" style="1" customWidth="1"/>
    <col min="7685" max="7685" width="1.7109375" style="1" customWidth="1"/>
    <col min="7686" max="7689" width="12" style="1" customWidth="1"/>
    <col min="7690" max="7690" width="11.85546875" style="1" customWidth="1"/>
    <col min="7691" max="7691" width="10.7109375" style="1" customWidth="1"/>
    <col min="7692" max="7692" width="10.5703125" style="1" customWidth="1"/>
    <col min="7693" max="7693" width="1.140625" style="1" customWidth="1"/>
    <col min="7694" max="7694" width="11.28515625" style="1" customWidth="1"/>
    <col min="7695" max="7695" width="12.7109375" style="1" customWidth="1"/>
    <col min="7696" max="7696" width="11.5703125" style="1" customWidth="1"/>
    <col min="7697" max="7697" width="12.42578125" style="1" customWidth="1"/>
    <col min="7698" max="7698" width="1.5703125" style="1" customWidth="1"/>
    <col min="7699" max="7699" width="11.42578125" style="1" customWidth="1"/>
    <col min="7700" max="7700" width="12.140625" style="1" customWidth="1"/>
    <col min="7701" max="7701" width="1.7109375" style="1" customWidth="1"/>
    <col min="7702" max="7702" width="13.5703125" style="1" customWidth="1"/>
    <col min="7703" max="7939" width="9.140625" style="1"/>
    <col min="7940" max="7940" width="9.28515625" style="1" customWidth="1"/>
    <col min="7941" max="7941" width="1.7109375" style="1" customWidth="1"/>
    <col min="7942" max="7945" width="12" style="1" customWidth="1"/>
    <col min="7946" max="7946" width="11.85546875" style="1" customWidth="1"/>
    <col min="7947" max="7947" width="10.7109375" style="1" customWidth="1"/>
    <col min="7948" max="7948" width="10.5703125" style="1" customWidth="1"/>
    <col min="7949" max="7949" width="1.140625" style="1" customWidth="1"/>
    <col min="7950" max="7950" width="11.28515625" style="1" customWidth="1"/>
    <col min="7951" max="7951" width="12.7109375" style="1" customWidth="1"/>
    <col min="7952" max="7952" width="11.5703125" style="1" customWidth="1"/>
    <col min="7953" max="7953" width="12.42578125" style="1" customWidth="1"/>
    <col min="7954" max="7954" width="1.5703125" style="1" customWidth="1"/>
    <col min="7955" max="7955" width="11.42578125" style="1" customWidth="1"/>
    <col min="7956" max="7956" width="12.140625" style="1" customWidth="1"/>
    <col min="7957" max="7957" width="1.7109375" style="1" customWidth="1"/>
    <col min="7958" max="7958" width="13.5703125" style="1" customWidth="1"/>
    <col min="7959" max="8195" width="9.140625" style="1"/>
    <col min="8196" max="8196" width="9.28515625" style="1" customWidth="1"/>
    <col min="8197" max="8197" width="1.7109375" style="1" customWidth="1"/>
    <col min="8198" max="8201" width="12" style="1" customWidth="1"/>
    <col min="8202" max="8202" width="11.85546875" style="1" customWidth="1"/>
    <col min="8203" max="8203" width="10.7109375" style="1" customWidth="1"/>
    <col min="8204" max="8204" width="10.5703125" style="1" customWidth="1"/>
    <col min="8205" max="8205" width="1.140625" style="1" customWidth="1"/>
    <col min="8206" max="8206" width="11.28515625" style="1" customWidth="1"/>
    <col min="8207" max="8207" width="12.7109375" style="1" customWidth="1"/>
    <col min="8208" max="8208" width="11.5703125" style="1" customWidth="1"/>
    <col min="8209" max="8209" width="12.42578125" style="1" customWidth="1"/>
    <col min="8210" max="8210" width="1.5703125" style="1" customWidth="1"/>
    <col min="8211" max="8211" width="11.42578125" style="1" customWidth="1"/>
    <col min="8212" max="8212" width="12.140625" style="1" customWidth="1"/>
    <col min="8213" max="8213" width="1.7109375" style="1" customWidth="1"/>
    <col min="8214" max="8214" width="13.5703125" style="1" customWidth="1"/>
    <col min="8215" max="8451" width="9.140625" style="1"/>
    <col min="8452" max="8452" width="9.28515625" style="1" customWidth="1"/>
    <col min="8453" max="8453" width="1.7109375" style="1" customWidth="1"/>
    <col min="8454" max="8457" width="12" style="1" customWidth="1"/>
    <col min="8458" max="8458" width="11.85546875" style="1" customWidth="1"/>
    <col min="8459" max="8459" width="10.7109375" style="1" customWidth="1"/>
    <col min="8460" max="8460" width="10.5703125" style="1" customWidth="1"/>
    <col min="8461" max="8461" width="1.140625" style="1" customWidth="1"/>
    <col min="8462" max="8462" width="11.28515625" style="1" customWidth="1"/>
    <col min="8463" max="8463" width="12.7109375" style="1" customWidth="1"/>
    <col min="8464" max="8464" width="11.5703125" style="1" customWidth="1"/>
    <col min="8465" max="8465" width="12.42578125" style="1" customWidth="1"/>
    <col min="8466" max="8466" width="1.5703125" style="1" customWidth="1"/>
    <col min="8467" max="8467" width="11.42578125" style="1" customWidth="1"/>
    <col min="8468" max="8468" width="12.140625" style="1" customWidth="1"/>
    <col min="8469" max="8469" width="1.7109375" style="1" customWidth="1"/>
    <col min="8470" max="8470" width="13.5703125" style="1" customWidth="1"/>
    <col min="8471" max="8707" width="9.140625" style="1"/>
    <col min="8708" max="8708" width="9.28515625" style="1" customWidth="1"/>
    <col min="8709" max="8709" width="1.7109375" style="1" customWidth="1"/>
    <col min="8710" max="8713" width="12" style="1" customWidth="1"/>
    <col min="8714" max="8714" width="11.85546875" style="1" customWidth="1"/>
    <col min="8715" max="8715" width="10.7109375" style="1" customWidth="1"/>
    <col min="8716" max="8716" width="10.5703125" style="1" customWidth="1"/>
    <col min="8717" max="8717" width="1.140625" style="1" customWidth="1"/>
    <col min="8718" max="8718" width="11.28515625" style="1" customWidth="1"/>
    <col min="8719" max="8719" width="12.7109375" style="1" customWidth="1"/>
    <col min="8720" max="8720" width="11.5703125" style="1" customWidth="1"/>
    <col min="8721" max="8721" width="12.42578125" style="1" customWidth="1"/>
    <col min="8722" max="8722" width="1.5703125" style="1" customWidth="1"/>
    <col min="8723" max="8723" width="11.42578125" style="1" customWidth="1"/>
    <col min="8724" max="8724" width="12.140625" style="1" customWidth="1"/>
    <col min="8725" max="8725" width="1.7109375" style="1" customWidth="1"/>
    <col min="8726" max="8726" width="13.5703125" style="1" customWidth="1"/>
    <col min="8727" max="8963" width="9.140625" style="1"/>
    <col min="8964" max="8964" width="9.28515625" style="1" customWidth="1"/>
    <col min="8965" max="8965" width="1.7109375" style="1" customWidth="1"/>
    <col min="8966" max="8969" width="12" style="1" customWidth="1"/>
    <col min="8970" max="8970" width="11.85546875" style="1" customWidth="1"/>
    <col min="8971" max="8971" width="10.7109375" style="1" customWidth="1"/>
    <col min="8972" max="8972" width="10.5703125" style="1" customWidth="1"/>
    <col min="8973" max="8973" width="1.140625" style="1" customWidth="1"/>
    <col min="8974" max="8974" width="11.28515625" style="1" customWidth="1"/>
    <col min="8975" max="8975" width="12.7109375" style="1" customWidth="1"/>
    <col min="8976" max="8976" width="11.5703125" style="1" customWidth="1"/>
    <col min="8977" max="8977" width="12.42578125" style="1" customWidth="1"/>
    <col min="8978" max="8978" width="1.5703125" style="1" customWidth="1"/>
    <col min="8979" max="8979" width="11.42578125" style="1" customWidth="1"/>
    <col min="8980" max="8980" width="12.140625" style="1" customWidth="1"/>
    <col min="8981" max="8981" width="1.7109375" style="1" customWidth="1"/>
    <col min="8982" max="8982" width="13.5703125" style="1" customWidth="1"/>
    <col min="8983" max="9219" width="9.140625" style="1"/>
    <col min="9220" max="9220" width="9.28515625" style="1" customWidth="1"/>
    <col min="9221" max="9221" width="1.7109375" style="1" customWidth="1"/>
    <col min="9222" max="9225" width="12" style="1" customWidth="1"/>
    <col min="9226" max="9226" width="11.85546875" style="1" customWidth="1"/>
    <col min="9227" max="9227" width="10.7109375" style="1" customWidth="1"/>
    <col min="9228" max="9228" width="10.5703125" style="1" customWidth="1"/>
    <col min="9229" max="9229" width="1.140625" style="1" customWidth="1"/>
    <col min="9230" max="9230" width="11.28515625" style="1" customWidth="1"/>
    <col min="9231" max="9231" width="12.7109375" style="1" customWidth="1"/>
    <col min="9232" max="9232" width="11.5703125" style="1" customWidth="1"/>
    <col min="9233" max="9233" width="12.42578125" style="1" customWidth="1"/>
    <col min="9234" max="9234" width="1.5703125" style="1" customWidth="1"/>
    <col min="9235" max="9235" width="11.42578125" style="1" customWidth="1"/>
    <col min="9236" max="9236" width="12.140625" style="1" customWidth="1"/>
    <col min="9237" max="9237" width="1.7109375" style="1" customWidth="1"/>
    <col min="9238" max="9238" width="13.5703125" style="1" customWidth="1"/>
    <col min="9239" max="9475" width="9.140625" style="1"/>
    <col min="9476" max="9476" width="9.28515625" style="1" customWidth="1"/>
    <col min="9477" max="9477" width="1.7109375" style="1" customWidth="1"/>
    <col min="9478" max="9481" width="12" style="1" customWidth="1"/>
    <col min="9482" max="9482" width="11.85546875" style="1" customWidth="1"/>
    <col min="9483" max="9483" width="10.7109375" style="1" customWidth="1"/>
    <col min="9484" max="9484" width="10.5703125" style="1" customWidth="1"/>
    <col min="9485" max="9485" width="1.140625" style="1" customWidth="1"/>
    <col min="9486" max="9486" width="11.28515625" style="1" customWidth="1"/>
    <col min="9487" max="9487" width="12.7109375" style="1" customWidth="1"/>
    <col min="9488" max="9488" width="11.5703125" style="1" customWidth="1"/>
    <col min="9489" max="9489" width="12.42578125" style="1" customWidth="1"/>
    <col min="9490" max="9490" width="1.5703125" style="1" customWidth="1"/>
    <col min="9491" max="9491" width="11.42578125" style="1" customWidth="1"/>
    <col min="9492" max="9492" width="12.140625" style="1" customWidth="1"/>
    <col min="9493" max="9493" width="1.7109375" style="1" customWidth="1"/>
    <col min="9494" max="9494" width="13.5703125" style="1" customWidth="1"/>
    <col min="9495" max="9731" width="9.140625" style="1"/>
    <col min="9732" max="9732" width="9.28515625" style="1" customWidth="1"/>
    <col min="9733" max="9733" width="1.7109375" style="1" customWidth="1"/>
    <col min="9734" max="9737" width="12" style="1" customWidth="1"/>
    <col min="9738" max="9738" width="11.85546875" style="1" customWidth="1"/>
    <col min="9739" max="9739" width="10.7109375" style="1" customWidth="1"/>
    <col min="9740" max="9740" width="10.5703125" style="1" customWidth="1"/>
    <col min="9741" max="9741" width="1.140625" style="1" customWidth="1"/>
    <col min="9742" max="9742" width="11.28515625" style="1" customWidth="1"/>
    <col min="9743" max="9743" width="12.7109375" style="1" customWidth="1"/>
    <col min="9744" max="9744" width="11.5703125" style="1" customWidth="1"/>
    <col min="9745" max="9745" width="12.42578125" style="1" customWidth="1"/>
    <col min="9746" max="9746" width="1.5703125" style="1" customWidth="1"/>
    <col min="9747" max="9747" width="11.42578125" style="1" customWidth="1"/>
    <col min="9748" max="9748" width="12.140625" style="1" customWidth="1"/>
    <col min="9749" max="9749" width="1.7109375" style="1" customWidth="1"/>
    <col min="9750" max="9750" width="13.5703125" style="1" customWidth="1"/>
    <col min="9751" max="9987" width="9.140625" style="1"/>
    <col min="9988" max="9988" width="9.28515625" style="1" customWidth="1"/>
    <col min="9989" max="9989" width="1.7109375" style="1" customWidth="1"/>
    <col min="9990" max="9993" width="12" style="1" customWidth="1"/>
    <col min="9994" max="9994" width="11.85546875" style="1" customWidth="1"/>
    <col min="9995" max="9995" width="10.7109375" style="1" customWidth="1"/>
    <col min="9996" max="9996" width="10.5703125" style="1" customWidth="1"/>
    <col min="9997" max="9997" width="1.140625" style="1" customWidth="1"/>
    <col min="9998" max="9998" width="11.28515625" style="1" customWidth="1"/>
    <col min="9999" max="9999" width="12.7109375" style="1" customWidth="1"/>
    <col min="10000" max="10000" width="11.5703125" style="1" customWidth="1"/>
    <col min="10001" max="10001" width="12.42578125" style="1" customWidth="1"/>
    <col min="10002" max="10002" width="1.5703125" style="1" customWidth="1"/>
    <col min="10003" max="10003" width="11.42578125" style="1" customWidth="1"/>
    <col min="10004" max="10004" width="12.140625" style="1" customWidth="1"/>
    <col min="10005" max="10005" width="1.7109375" style="1" customWidth="1"/>
    <col min="10006" max="10006" width="13.5703125" style="1" customWidth="1"/>
    <col min="10007" max="10243" width="9.140625" style="1"/>
    <col min="10244" max="10244" width="9.28515625" style="1" customWidth="1"/>
    <col min="10245" max="10245" width="1.7109375" style="1" customWidth="1"/>
    <col min="10246" max="10249" width="12" style="1" customWidth="1"/>
    <col min="10250" max="10250" width="11.85546875" style="1" customWidth="1"/>
    <col min="10251" max="10251" width="10.7109375" style="1" customWidth="1"/>
    <col min="10252" max="10252" width="10.5703125" style="1" customWidth="1"/>
    <col min="10253" max="10253" width="1.140625" style="1" customWidth="1"/>
    <col min="10254" max="10254" width="11.28515625" style="1" customWidth="1"/>
    <col min="10255" max="10255" width="12.7109375" style="1" customWidth="1"/>
    <col min="10256" max="10256" width="11.5703125" style="1" customWidth="1"/>
    <col min="10257" max="10257" width="12.42578125" style="1" customWidth="1"/>
    <col min="10258" max="10258" width="1.5703125" style="1" customWidth="1"/>
    <col min="10259" max="10259" width="11.42578125" style="1" customWidth="1"/>
    <col min="10260" max="10260" width="12.140625" style="1" customWidth="1"/>
    <col min="10261" max="10261" width="1.7109375" style="1" customWidth="1"/>
    <col min="10262" max="10262" width="13.5703125" style="1" customWidth="1"/>
    <col min="10263" max="10499" width="9.140625" style="1"/>
    <col min="10500" max="10500" width="9.28515625" style="1" customWidth="1"/>
    <col min="10501" max="10501" width="1.7109375" style="1" customWidth="1"/>
    <col min="10502" max="10505" width="12" style="1" customWidth="1"/>
    <col min="10506" max="10506" width="11.85546875" style="1" customWidth="1"/>
    <col min="10507" max="10507" width="10.7109375" style="1" customWidth="1"/>
    <col min="10508" max="10508" width="10.5703125" style="1" customWidth="1"/>
    <col min="10509" max="10509" width="1.140625" style="1" customWidth="1"/>
    <col min="10510" max="10510" width="11.28515625" style="1" customWidth="1"/>
    <col min="10511" max="10511" width="12.7109375" style="1" customWidth="1"/>
    <col min="10512" max="10512" width="11.5703125" style="1" customWidth="1"/>
    <col min="10513" max="10513" width="12.42578125" style="1" customWidth="1"/>
    <col min="10514" max="10514" width="1.5703125" style="1" customWidth="1"/>
    <col min="10515" max="10515" width="11.42578125" style="1" customWidth="1"/>
    <col min="10516" max="10516" width="12.140625" style="1" customWidth="1"/>
    <col min="10517" max="10517" width="1.7109375" style="1" customWidth="1"/>
    <col min="10518" max="10518" width="13.5703125" style="1" customWidth="1"/>
    <col min="10519" max="10755" width="9.140625" style="1"/>
    <col min="10756" max="10756" width="9.28515625" style="1" customWidth="1"/>
    <col min="10757" max="10757" width="1.7109375" style="1" customWidth="1"/>
    <col min="10758" max="10761" width="12" style="1" customWidth="1"/>
    <col min="10762" max="10762" width="11.85546875" style="1" customWidth="1"/>
    <col min="10763" max="10763" width="10.7109375" style="1" customWidth="1"/>
    <col min="10764" max="10764" width="10.5703125" style="1" customWidth="1"/>
    <col min="10765" max="10765" width="1.140625" style="1" customWidth="1"/>
    <col min="10766" max="10766" width="11.28515625" style="1" customWidth="1"/>
    <col min="10767" max="10767" width="12.7109375" style="1" customWidth="1"/>
    <col min="10768" max="10768" width="11.5703125" style="1" customWidth="1"/>
    <col min="10769" max="10769" width="12.42578125" style="1" customWidth="1"/>
    <col min="10770" max="10770" width="1.5703125" style="1" customWidth="1"/>
    <col min="10771" max="10771" width="11.42578125" style="1" customWidth="1"/>
    <col min="10772" max="10772" width="12.140625" style="1" customWidth="1"/>
    <col min="10773" max="10773" width="1.7109375" style="1" customWidth="1"/>
    <col min="10774" max="10774" width="13.5703125" style="1" customWidth="1"/>
    <col min="10775" max="11011" width="9.140625" style="1"/>
    <col min="11012" max="11012" width="9.28515625" style="1" customWidth="1"/>
    <col min="11013" max="11013" width="1.7109375" style="1" customWidth="1"/>
    <col min="11014" max="11017" width="12" style="1" customWidth="1"/>
    <col min="11018" max="11018" width="11.85546875" style="1" customWidth="1"/>
    <col min="11019" max="11019" width="10.7109375" style="1" customWidth="1"/>
    <col min="11020" max="11020" width="10.5703125" style="1" customWidth="1"/>
    <col min="11021" max="11021" width="1.140625" style="1" customWidth="1"/>
    <col min="11022" max="11022" width="11.28515625" style="1" customWidth="1"/>
    <col min="11023" max="11023" width="12.7109375" style="1" customWidth="1"/>
    <col min="11024" max="11024" width="11.5703125" style="1" customWidth="1"/>
    <col min="11025" max="11025" width="12.42578125" style="1" customWidth="1"/>
    <col min="11026" max="11026" width="1.5703125" style="1" customWidth="1"/>
    <col min="11027" max="11027" width="11.42578125" style="1" customWidth="1"/>
    <col min="11028" max="11028" width="12.140625" style="1" customWidth="1"/>
    <col min="11029" max="11029" width="1.7109375" style="1" customWidth="1"/>
    <col min="11030" max="11030" width="13.5703125" style="1" customWidth="1"/>
    <col min="11031" max="11267" width="9.140625" style="1"/>
    <col min="11268" max="11268" width="9.28515625" style="1" customWidth="1"/>
    <col min="11269" max="11269" width="1.7109375" style="1" customWidth="1"/>
    <col min="11270" max="11273" width="12" style="1" customWidth="1"/>
    <col min="11274" max="11274" width="11.85546875" style="1" customWidth="1"/>
    <col min="11275" max="11275" width="10.7109375" style="1" customWidth="1"/>
    <col min="11276" max="11276" width="10.5703125" style="1" customWidth="1"/>
    <col min="11277" max="11277" width="1.140625" style="1" customWidth="1"/>
    <col min="11278" max="11278" width="11.28515625" style="1" customWidth="1"/>
    <col min="11279" max="11279" width="12.7109375" style="1" customWidth="1"/>
    <col min="11280" max="11280" width="11.5703125" style="1" customWidth="1"/>
    <col min="11281" max="11281" width="12.42578125" style="1" customWidth="1"/>
    <col min="11282" max="11282" width="1.5703125" style="1" customWidth="1"/>
    <col min="11283" max="11283" width="11.42578125" style="1" customWidth="1"/>
    <col min="11284" max="11284" width="12.140625" style="1" customWidth="1"/>
    <col min="11285" max="11285" width="1.7109375" style="1" customWidth="1"/>
    <col min="11286" max="11286" width="13.5703125" style="1" customWidth="1"/>
    <col min="11287" max="11523" width="9.140625" style="1"/>
    <col min="11524" max="11524" width="9.28515625" style="1" customWidth="1"/>
    <col min="11525" max="11525" width="1.7109375" style="1" customWidth="1"/>
    <col min="11526" max="11529" width="12" style="1" customWidth="1"/>
    <col min="11530" max="11530" width="11.85546875" style="1" customWidth="1"/>
    <col min="11531" max="11531" width="10.7109375" style="1" customWidth="1"/>
    <col min="11532" max="11532" width="10.5703125" style="1" customWidth="1"/>
    <col min="11533" max="11533" width="1.140625" style="1" customWidth="1"/>
    <col min="11534" max="11534" width="11.28515625" style="1" customWidth="1"/>
    <col min="11535" max="11535" width="12.7109375" style="1" customWidth="1"/>
    <col min="11536" max="11536" width="11.5703125" style="1" customWidth="1"/>
    <col min="11537" max="11537" width="12.42578125" style="1" customWidth="1"/>
    <col min="11538" max="11538" width="1.5703125" style="1" customWidth="1"/>
    <col min="11539" max="11539" width="11.42578125" style="1" customWidth="1"/>
    <col min="11540" max="11540" width="12.140625" style="1" customWidth="1"/>
    <col min="11541" max="11541" width="1.7109375" style="1" customWidth="1"/>
    <col min="11542" max="11542" width="13.5703125" style="1" customWidth="1"/>
    <col min="11543" max="11779" width="9.140625" style="1"/>
    <col min="11780" max="11780" width="9.28515625" style="1" customWidth="1"/>
    <col min="11781" max="11781" width="1.7109375" style="1" customWidth="1"/>
    <col min="11782" max="11785" width="12" style="1" customWidth="1"/>
    <col min="11786" max="11786" width="11.85546875" style="1" customWidth="1"/>
    <col min="11787" max="11787" width="10.7109375" style="1" customWidth="1"/>
    <col min="11788" max="11788" width="10.5703125" style="1" customWidth="1"/>
    <col min="11789" max="11789" width="1.140625" style="1" customWidth="1"/>
    <col min="11790" max="11790" width="11.28515625" style="1" customWidth="1"/>
    <col min="11791" max="11791" width="12.7109375" style="1" customWidth="1"/>
    <col min="11792" max="11792" width="11.5703125" style="1" customWidth="1"/>
    <col min="11793" max="11793" width="12.42578125" style="1" customWidth="1"/>
    <col min="11794" max="11794" width="1.5703125" style="1" customWidth="1"/>
    <col min="11795" max="11795" width="11.42578125" style="1" customWidth="1"/>
    <col min="11796" max="11796" width="12.140625" style="1" customWidth="1"/>
    <col min="11797" max="11797" width="1.7109375" style="1" customWidth="1"/>
    <col min="11798" max="11798" width="13.5703125" style="1" customWidth="1"/>
    <col min="11799" max="12035" width="9.140625" style="1"/>
    <col min="12036" max="12036" width="9.28515625" style="1" customWidth="1"/>
    <col min="12037" max="12037" width="1.7109375" style="1" customWidth="1"/>
    <col min="12038" max="12041" width="12" style="1" customWidth="1"/>
    <col min="12042" max="12042" width="11.85546875" style="1" customWidth="1"/>
    <col min="12043" max="12043" width="10.7109375" style="1" customWidth="1"/>
    <col min="12044" max="12044" width="10.5703125" style="1" customWidth="1"/>
    <col min="12045" max="12045" width="1.140625" style="1" customWidth="1"/>
    <col min="12046" max="12046" width="11.28515625" style="1" customWidth="1"/>
    <col min="12047" max="12047" width="12.7109375" style="1" customWidth="1"/>
    <col min="12048" max="12048" width="11.5703125" style="1" customWidth="1"/>
    <col min="12049" max="12049" width="12.42578125" style="1" customWidth="1"/>
    <col min="12050" max="12050" width="1.5703125" style="1" customWidth="1"/>
    <col min="12051" max="12051" width="11.42578125" style="1" customWidth="1"/>
    <col min="12052" max="12052" width="12.140625" style="1" customWidth="1"/>
    <col min="12053" max="12053" width="1.7109375" style="1" customWidth="1"/>
    <col min="12054" max="12054" width="13.5703125" style="1" customWidth="1"/>
    <col min="12055" max="12291" width="9.140625" style="1"/>
    <col min="12292" max="12292" width="9.28515625" style="1" customWidth="1"/>
    <col min="12293" max="12293" width="1.7109375" style="1" customWidth="1"/>
    <col min="12294" max="12297" width="12" style="1" customWidth="1"/>
    <col min="12298" max="12298" width="11.85546875" style="1" customWidth="1"/>
    <col min="12299" max="12299" width="10.7109375" style="1" customWidth="1"/>
    <col min="12300" max="12300" width="10.5703125" style="1" customWidth="1"/>
    <col min="12301" max="12301" width="1.140625" style="1" customWidth="1"/>
    <col min="12302" max="12302" width="11.28515625" style="1" customWidth="1"/>
    <col min="12303" max="12303" width="12.7109375" style="1" customWidth="1"/>
    <col min="12304" max="12304" width="11.5703125" style="1" customWidth="1"/>
    <col min="12305" max="12305" width="12.42578125" style="1" customWidth="1"/>
    <col min="12306" max="12306" width="1.5703125" style="1" customWidth="1"/>
    <col min="12307" max="12307" width="11.42578125" style="1" customWidth="1"/>
    <col min="12308" max="12308" width="12.140625" style="1" customWidth="1"/>
    <col min="12309" max="12309" width="1.7109375" style="1" customWidth="1"/>
    <col min="12310" max="12310" width="13.5703125" style="1" customWidth="1"/>
    <col min="12311" max="12547" width="9.140625" style="1"/>
    <col min="12548" max="12548" width="9.28515625" style="1" customWidth="1"/>
    <col min="12549" max="12549" width="1.7109375" style="1" customWidth="1"/>
    <col min="12550" max="12553" width="12" style="1" customWidth="1"/>
    <col min="12554" max="12554" width="11.85546875" style="1" customWidth="1"/>
    <col min="12555" max="12555" width="10.7109375" style="1" customWidth="1"/>
    <col min="12556" max="12556" width="10.5703125" style="1" customWidth="1"/>
    <col min="12557" max="12557" width="1.140625" style="1" customWidth="1"/>
    <col min="12558" max="12558" width="11.28515625" style="1" customWidth="1"/>
    <col min="12559" max="12559" width="12.7109375" style="1" customWidth="1"/>
    <col min="12560" max="12560" width="11.5703125" style="1" customWidth="1"/>
    <col min="12561" max="12561" width="12.42578125" style="1" customWidth="1"/>
    <col min="12562" max="12562" width="1.5703125" style="1" customWidth="1"/>
    <col min="12563" max="12563" width="11.42578125" style="1" customWidth="1"/>
    <col min="12564" max="12564" width="12.140625" style="1" customWidth="1"/>
    <col min="12565" max="12565" width="1.7109375" style="1" customWidth="1"/>
    <col min="12566" max="12566" width="13.5703125" style="1" customWidth="1"/>
    <col min="12567" max="12803" width="9.140625" style="1"/>
    <col min="12804" max="12804" width="9.28515625" style="1" customWidth="1"/>
    <col min="12805" max="12805" width="1.7109375" style="1" customWidth="1"/>
    <col min="12806" max="12809" width="12" style="1" customWidth="1"/>
    <col min="12810" max="12810" width="11.85546875" style="1" customWidth="1"/>
    <col min="12811" max="12811" width="10.7109375" style="1" customWidth="1"/>
    <col min="12812" max="12812" width="10.5703125" style="1" customWidth="1"/>
    <col min="12813" max="12813" width="1.140625" style="1" customWidth="1"/>
    <col min="12814" max="12814" width="11.28515625" style="1" customWidth="1"/>
    <col min="12815" max="12815" width="12.7109375" style="1" customWidth="1"/>
    <col min="12816" max="12816" width="11.5703125" style="1" customWidth="1"/>
    <col min="12817" max="12817" width="12.42578125" style="1" customWidth="1"/>
    <col min="12818" max="12818" width="1.5703125" style="1" customWidth="1"/>
    <col min="12819" max="12819" width="11.42578125" style="1" customWidth="1"/>
    <col min="12820" max="12820" width="12.140625" style="1" customWidth="1"/>
    <col min="12821" max="12821" width="1.7109375" style="1" customWidth="1"/>
    <col min="12822" max="12822" width="13.5703125" style="1" customWidth="1"/>
    <col min="12823" max="13059" width="9.140625" style="1"/>
    <col min="13060" max="13060" width="9.28515625" style="1" customWidth="1"/>
    <col min="13061" max="13061" width="1.7109375" style="1" customWidth="1"/>
    <col min="13062" max="13065" width="12" style="1" customWidth="1"/>
    <col min="13066" max="13066" width="11.85546875" style="1" customWidth="1"/>
    <col min="13067" max="13067" width="10.7109375" style="1" customWidth="1"/>
    <col min="13068" max="13068" width="10.5703125" style="1" customWidth="1"/>
    <col min="13069" max="13069" width="1.140625" style="1" customWidth="1"/>
    <col min="13070" max="13070" width="11.28515625" style="1" customWidth="1"/>
    <col min="13071" max="13071" width="12.7109375" style="1" customWidth="1"/>
    <col min="13072" max="13072" width="11.5703125" style="1" customWidth="1"/>
    <col min="13073" max="13073" width="12.42578125" style="1" customWidth="1"/>
    <col min="13074" max="13074" width="1.5703125" style="1" customWidth="1"/>
    <col min="13075" max="13075" width="11.42578125" style="1" customWidth="1"/>
    <col min="13076" max="13076" width="12.140625" style="1" customWidth="1"/>
    <col min="13077" max="13077" width="1.7109375" style="1" customWidth="1"/>
    <col min="13078" max="13078" width="13.5703125" style="1" customWidth="1"/>
    <col min="13079" max="13315" width="9.140625" style="1"/>
    <col min="13316" max="13316" width="9.28515625" style="1" customWidth="1"/>
    <col min="13317" max="13317" width="1.7109375" style="1" customWidth="1"/>
    <col min="13318" max="13321" width="12" style="1" customWidth="1"/>
    <col min="13322" max="13322" width="11.85546875" style="1" customWidth="1"/>
    <col min="13323" max="13323" width="10.7109375" style="1" customWidth="1"/>
    <col min="13324" max="13324" width="10.5703125" style="1" customWidth="1"/>
    <col min="13325" max="13325" width="1.140625" style="1" customWidth="1"/>
    <col min="13326" max="13326" width="11.28515625" style="1" customWidth="1"/>
    <col min="13327" max="13327" width="12.7109375" style="1" customWidth="1"/>
    <col min="13328" max="13328" width="11.5703125" style="1" customWidth="1"/>
    <col min="13329" max="13329" width="12.42578125" style="1" customWidth="1"/>
    <col min="13330" max="13330" width="1.5703125" style="1" customWidth="1"/>
    <col min="13331" max="13331" width="11.42578125" style="1" customWidth="1"/>
    <col min="13332" max="13332" width="12.140625" style="1" customWidth="1"/>
    <col min="13333" max="13333" width="1.7109375" style="1" customWidth="1"/>
    <col min="13334" max="13334" width="13.5703125" style="1" customWidth="1"/>
    <col min="13335" max="13571" width="9.140625" style="1"/>
    <col min="13572" max="13572" width="9.28515625" style="1" customWidth="1"/>
    <col min="13573" max="13573" width="1.7109375" style="1" customWidth="1"/>
    <col min="13574" max="13577" width="12" style="1" customWidth="1"/>
    <col min="13578" max="13578" width="11.85546875" style="1" customWidth="1"/>
    <col min="13579" max="13579" width="10.7109375" style="1" customWidth="1"/>
    <col min="13580" max="13580" width="10.5703125" style="1" customWidth="1"/>
    <col min="13581" max="13581" width="1.140625" style="1" customWidth="1"/>
    <col min="13582" max="13582" width="11.28515625" style="1" customWidth="1"/>
    <col min="13583" max="13583" width="12.7109375" style="1" customWidth="1"/>
    <col min="13584" max="13584" width="11.5703125" style="1" customWidth="1"/>
    <col min="13585" max="13585" width="12.42578125" style="1" customWidth="1"/>
    <col min="13586" max="13586" width="1.5703125" style="1" customWidth="1"/>
    <col min="13587" max="13587" width="11.42578125" style="1" customWidth="1"/>
    <col min="13588" max="13588" width="12.140625" style="1" customWidth="1"/>
    <col min="13589" max="13589" width="1.7109375" style="1" customWidth="1"/>
    <col min="13590" max="13590" width="13.5703125" style="1" customWidth="1"/>
    <col min="13591" max="13827" width="9.140625" style="1"/>
    <col min="13828" max="13828" width="9.28515625" style="1" customWidth="1"/>
    <col min="13829" max="13829" width="1.7109375" style="1" customWidth="1"/>
    <col min="13830" max="13833" width="12" style="1" customWidth="1"/>
    <col min="13834" max="13834" width="11.85546875" style="1" customWidth="1"/>
    <col min="13835" max="13835" width="10.7109375" style="1" customWidth="1"/>
    <col min="13836" max="13836" width="10.5703125" style="1" customWidth="1"/>
    <col min="13837" max="13837" width="1.140625" style="1" customWidth="1"/>
    <col min="13838" max="13838" width="11.28515625" style="1" customWidth="1"/>
    <col min="13839" max="13839" width="12.7109375" style="1" customWidth="1"/>
    <col min="13840" max="13840" width="11.5703125" style="1" customWidth="1"/>
    <col min="13841" max="13841" width="12.42578125" style="1" customWidth="1"/>
    <col min="13842" max="13842" width="1.5703125" style="1" customWidth="1"/>
    <col min="13843" max="13843" width="11.42578125" style="1" customWidth="1"/>
    <col min="13844" max="13844" width="12.140625" style="1" customWidth="1"/>
    <col min="13845" max="13845" width="1.7109375" style="1" customWidth="1"/>
    <col min="13846" max="13846" width="13.5703125" style="1" customWidth="1"/>
    <col min="13847" max="14083" width="9.140625" style="1"/>
    <col min="14084" max="14084" width="9.28515625" style="1" customWidth="1"/>
    <col min="14085" max="14085" width="1.7109375" style="1" customWidth="1"/>
    <col min="14086" max="14089" width="12" style="1" customWidth="1"/>
    <col min="14090" max="14090" width="11.85546875" style="1" customWidth="1"/>
    <col min="14091" max="14091" width="10.7109375" style="1" customWidth="1"/>
    <col min="14092" max="14092" width="10.5703125" style="1" customWidth="1"/>
    <col min="14093" max="14093" width="1.140625" style="1" customWidth="1"/>
    <col min="14094" max="14094" width="11.28515625" style="1" customWidth="1"/>
    <col min="14095" max="14095" width="12.7109375" style="1" customWidth="1"/>
    <col min="14096" max="14096" width="11.5703125" style="1" customWidth="1"/>
    <col min="14097" max="14097" width="12.42578125" style="1" customWidth="1"/>
    <col min="14098" max="14098" width="1.5703125" style="1" customWidth="1"/>
    <col min="14099" max="14099" width="11.42578125" style="1" customWidth="1"/>
    <col min="14100" max="14100" width="12.140625" style="1" customWidth="1"/>
    <col min="14101" max="14101" width="1.7109375" style="1" customWidth="1"/>
    <col min="14102" max="14102" width="13.5703125" style="1" customWidth="1"/>
    <col min="14103" max="14339" width="9.140625" style="1"/>
    <col min="14340" max="14340" width="9.28515625" style="1" customWidth="1"/>
    <col min="14341" max="14341" width="1.7109375" style="1" customWidth="1"/>
    <col min="14342" max="14345" width="12" style="1" customWidth="1"/>
    <col min="14346" max="14346" width="11.85546875" style="1" customWidth="1"/>
    <col min="14347" max="14347" width="10.7109375" style="1" customWidth="1"/>
    <col min="14348" max="14348" width="10.5703125" style="1" customWidth="1"/>
    <col min="14349" max="14349" width="1.140625" style="1" customWidth="1"/>
    <col min="14350" max="14350" width="11.28515625" style="1" customWidth="1"/>
    <col min="14351" max="14351" width="12.7109375" style="1" customWidth="1"/>
    <col min="14352" max="14352" width="11.5703125" style="1" customWidth="1"/>
    <col min="14353" max="14353" width="12.42578125" style="1" customWidth="1"/>
    <col min="14354" max="14354" width="1.5703125" style="1" customWidth="1"/>
    <col min="14355" max="14355" width="11.42578125" style="1" customWidth="1"/>
    <col min="14356" max="14356" width="12.140625" style="1" customWidth="1"/>
    <col min="14357" max="14357" width="1.7109375" style="1" customWidth="1"/>
    <col min="14358" max="14358" width="13.5703125" style="1" customWidth="1"/>
    <col min="14359" max="14595" width="9.140625" style="1"/>
    <col min="14596" max="14596" width="9.28515625" style="1" customWidth="1"/>
    <col min="14597" max="14597" width="1.7109375" style="1" customWidth="1"/>
    <col min="14598" max="14601" width="12" style="1" customWidth="1"/>
    <col min="14602" max="14602" width="11.85546875" style="1" customWidth="1"/>
    <col min="14603" max="14603" width="10.7109375" style="1" customWidth="1"/>
    <col min="14604" max="14604" width="10.5703125" style="1" customWidth="1"/>
    <col min="14605" max="14605" width="1.140625" style="1" customWidth="1"/>
    <col min="14606" max="14606" width="11.28515625" style="1" customWidth="1"/>
    <col min="14607" max="14607" width="12.7109375" style="1" customWidth="1"/>
    <col min="14608" max="14608" width="11.5703125" style="1" customWidth="1"/>
    <col min="14609" max="14609" width="12.42578125" style="1" customWidth="1"/>
    <col min="14610" max="14610" width="1.5703125" style="1" customWidth="1"/>
    <col min="14611" max="14611" width="11.42578125" style="1" customWidth="1"/>
    <col min="14612" max="14612" width="12.140625" style="1" customWidth="1"/>
    <col min="14613" max="14613" width="1.7109375" style="1" customWidth="1"/>
    <col min="14614" max="14614" width="13.5703125" style="1" customWidth="1"/>
    <col min="14615" max="14851" width="9.140625" style="1"/>
    <col min="14852" max="14852" width="9.28515625" style="1" customWidth="1"/>
    <col min="14853" max="14853" width="1.7109375" style="1" customWidth="1"/>
    <col min="14854" max="14857" width="12" style="1" customWidth="1"/>
    <col min="14858" max="14858" width="11.85546875" style="1" customWidth="1"/>
    <col min="14859" max="14859" width="10.7109375" style="1" customWidth="1"/>
    <col min="14860" max="14860" width="10.5703125" style="1" customWidth="1"/>
    <col min="14861" max="14861" width="1.140625" style="1" customWidth="1"/>
    <col min="14862" max="14862" width="11.28515625" style="1" customWidth="1"/>
    <col min="14863" max="14863" width="12.7109375" style="1" customWidth="1"/>
    <col min="14864" max="14864" width="11.5703125" style="1" customWidth="1"/>
    <col min="14865" max="14865" width="12.42578125" style="1" customWidth="1"/>
    <col min="14866" max="14866" width="1.5703125" style="1" customWidth="1"/>
    <col min="14867" max="14867" width="11.42578125" style="1" customWidth="1"/>
    <col min="14868" max="14868" width="12.140625" style="1" customWidth="1"/>
    <col min="14869" max="14869" width="1.7109375" style="1" customWidth="1"/>
    <col min="14870" max="14870" width="13.5703125" style="1" customWidth="1"/>
    <col min="14871" max="15107" width="9.140625" style="1"/>
    <col min="15108" max="15108" width="9.28515625" style="1" customWidth="1"/>
    <col min="15109" max="15109" width="1.7109375" style="1" customWidth="1"/>
    <col min="15110" max="15113" width="12" style="1" customWidth="1"/>
    <col min="15114" max="15114" width="11.85546875" style="1" customWidth="1"/>
    <col min="15115" max="15115" width="10.7109375" style="1" customWidth="1"/>
    <col min="15116" max="15116" width="10.5703125" style="1" customWidth="1"/>
    <col min="15117" max="15117" width="1.140625" style="1" customWidth="1"/>
    <col min="15118" max="15118" width="11.28515625" style="1" customWidth="1"/>
    <col min="15119" max="15119" width="12.7109375" style="1" customWidth="1"/>
    <col min="15120" max="15120" width="11.5703125" style="1" customWidth="1"/>
    <col min="15121" max="15121" width="12.42578125" style="1" customWidth="1"/>
    <col min="15122" max="15122" width="1.5703125" style="1" customWidth="1"/>
    <col min="15123" max="15123" width="11.42578125" style="1" customWidth="1"/>
    <col min="15124" max="15124" width="12.140625" style="1" customWidth="1"/>
    <col min="15125" max="15125" width="1.7109375" style="1" customWidth="1"/>
    <col min="15126" max="15126" width="13.5703125" style="1" customWidth="1"/>
    <col min="15127" max="15363" width="9.140625" style="1"/>
    <col min="15364" max="15364" width="9.28515625" style="1" customWidth="1"/>
    <col min="15365" max="15365" width="1.7109375" style="1" customWidth="1"/>
    <col min="15366" max="15369" width="12" style="1" customWidth="1"/>
    <col min="15370" max="15370" width="11.85546875" style="1" customWidth="1"/>
    <col min="15371" max="15371" width="10.7109375" style="1" customWidth="1"/>
    <col min="15372" max="15372" width="10.5703125" style="1" customWidth="1"/>
    <col min="15373" max="15373" width="1.140625" style="1" customWidth="1"/>
    <col min="15374" max="15374" width="11.28515625" style="1" customWidth="1"/>
    <col min="15375" max="15375" width="12.7109375" style="1" customWidth="1"/>
    <col min="15376" max="15376" width="11.5703125" style="1" customWidth="1"/>
    <col min="15377" max="15377" width="12.42578125" style="1" customWidth="1"/>
    <col min="15378" max="15378" width="1.5703125" style="1" customWidth="1"/>
    <col min="15379" max="15379" width="11.42578125" style="1" customWidth="1"/>
    <col min="15380" max="15380" width="12.140625" style="1" customWidth="1"/>
    <col min="15381" max="15381" width="1.7109375" style="1" customWidth="1"/>
    <col min="15382" max="15382" width="13.5703125" style="1" customWidth="1"/>
    <col min="15383" max="15619" width="9.140625" style="1"/>
    <col min="15620" max="15620" width="9.28515625" style="1" customWidth="1"/>
    <col min="15621" max="15621" width="1.7109375" style="1" customWidth="1"/>
    <col min="15622" max="15625" width="12" style="1" customWidth="1"/>
    <col min="15626" max="15626" width="11.85546875" style="1" customWidth="1"/>
    <col min="15627" max="15627" width="10.7109375" style="1" customWidth="1"/>
    <col min="15628" max="15628" width="10.5703125" style="1" customWidth="1"/>
    <col min="15629" max="15629" width="1.140625" style="1" customWidth="1"/>
    <col min="15630" max="15630" width="11.28515625" style="1" customWidth="1"/>
    <col min="15631" max="15631" width="12.7109375" style="1" customWidth="1"/>
    <col min="15632" max="15632" width="11.5703125" style="1" customWidth="1"/>
    <col min="15633" max="15633" width="12.42578125" style="1" customWidth="1"/>
    <col min="15634" max="15634" width="1.5703125" style="1" customWidth="1"/>
    <col min="15635" max="15635" width="11.42578125" style="1" customWidth="1"/>
    <col min="15636" max="15636" width="12.140625" style="1" customWidth="1"/>
    <col min="15637" max="15637" width="1.7109375" style="1" customWidth="1"/>
    <col min="15638" max="15638" width="13.5703125" style="1" customWidth="1"/>
    <col min="15639" max="15875" width="9.140625" style="1"/>
    <col min="15876" max="15876" width="9.28515625" style="1" customWidth="1"/>
    <col min="15877" max="15877" width="1.7109375" style="1" customWidth="1"/>
    <col min="15878" max="15881" width="12" style="1" customWidth="1"/>
    <col min="15882" max="15882" width="11.85546875" style="1" customWidth="1"/>
    <col min="15883" max="15883" width="10.7109375" style="1" customWidth="1"/>
    <col min="15884" max="15884" width="10.5703125" style="1" customWidth="1"/>
    <col min="15885" max="15885" width="1.140625" style="1" customWidth="1"/>
    <col min="15886" max="15886" width="11.28515625" style="1" customWidth="1"/>
    <col min="15887" max="15887" width="12.7109375" style="1" customWidth="1"/>
    <col min="15888" max="15888" width="11.5703125" style="1" customWidth="1"/>
    <col min="15889" max="15889" width="12.42578125" style="1" customWidth="1"/>
    <col min="15890" max="15890" width="1.5703125" style="1" customWidth="1"/>
    <col min="15891" max="15891" width="11.42578125" style="1" customWidth="1"/>
    <col min="15892" max="15892" width="12.140625" style="1" customWidth="1"/>
    <col min="15893" max="15893" width="1.7109375" style="1" customWidth="1"/>
    <col min="15894" max="15894" width="13.5703125" style="1" customWidth="1"/>
    <col min="15895" max="16131" width="9.140625" style="1"/>
    <col min="16132" max="16132" width="9.28515625" style="1" customWidth="1"/>
    <col min="16133" max="16133" width="1.7109375" style="1" customWidth="1"/>
    <col min="16134" max="16137" width="12" style="1" customWidth="1"/>
    <col min="16138" max="16138" width="11.85546875" style="1" customWidth="1"/>
    <col min="16139" max="16139" width="10.7109375" style="1" customWidth="1"/>
    <col min="16140" max="16140" width="10.5703125" style="1" customWidth="1"/>
    <col min="16141" max="16141" width="1.140625" style="1" customWidth="1"/>
    <col min="16142" max="16142" width="11.28515625" style="1" customWidth="1"/>
    <col min="16143" max="16143" width="12.7109375" style="1" customWidth="1"/>
    <col min="16144" max="16144" width="11.5703125" style="1" customWidth="1"/>
    <col min="16145" max="16145" width="12.42578125" style="1" customWidth="1"/>
    <col min="16146" max="16146" width="1.5703125" style="1" customWidth="1"/>
    <col min="16147" max="16147" width="11.42578125" style="1" customWidth="1"/>
    <col min="16148" max="16148" width="12.140625" style="1" customWidth="1"/>
    <col min="16149" max="16149" width="1.7109375" style="1" customWidth="1"/>
    <col min="16150" max="16150" width="13.5703125" style="1" customWidth="1"/>
    <col min="16151" max="16384" width="9.140625" style="1"/>
  </cols>
  <sheetData>
    <row r="1" spans="1:22" ht="18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</row>
    <row r="2" spans="1:22" ht="15.75" x14ac:dyDescent="0.25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</row>
    <row r="3" spans="1:22" s="2" customFormat="1" ht="15.75" x14ac:dyDescent="0.25">
      <c r="A3" s="128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</row>
    <row r="4" spans="1:22" s="2" customFormat="1" ht="14.25" customHeight="1" x14ac:dyDescent="0.25">
      <c r="A4" s="129" t="s">
        <v>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</row>
    <row r="5" spans="1:22" s="2" customFormat="1" x14ac:dyDescent="0.25">
      <c r="A5" s="131" t="s">
        <v>4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</row>
    <row r="6" spans="1:22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</row>
    <row r="7" spans="1:22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</row>
    <row r="8" spans="1:22" s="9" customFormat="1" ht="14.25" customHeight="1" x14ac:dyDescent="0.25">
      <c r="A8" s="121" t="s">
        <v>76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3"/>
    </row>
    <row r="9" spans="1:22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4"/>
      <c r="V9" s="4"/>
    </row>
    <row r="10" spans="1:22" s="15" customFormat="1" ht="12.75" x14ac:dyDescent="0.2">
      <c r="A10" s="10"/>
      <c r="B10" s="10"/>
      <c r="C10" s="118" t="s">
        <v>6</v>
      </c>
      <c r="D10" s="119"/>
      <c r="E10" s="119"/>
      <c r="F10" s="119"/>
      <c r="G10" s="119"/>
      <c r="H10" s="119"/>
      <c r="I10" s="119"/>
      <c r="J10" s="11"/>
      <c r="K10" s="12"/>
      <c r="L10" s="118" t="s">
        <v>7</v>
      </c>
      <c r="M10" s="119"/>
      <c r="N10" s="119"/>
      <c r="O10" s="120"/>
      <c r="P10" s="13"/>
      <c r="Q10" s="118" t="s">
        <v>8</v>
      </c>
      <c r="R10" s="120"/>
      <c r="S10" s="102"/>
      <c r="T10" s="103" t="s">
        <v>72</v>
      </c>
      <c r="U10" s="14"/>
      <c r="V10" s="14"/>
    </row>
    <row r="11" spans="1:22" s="21" customFormat="1" ht="12" x14ac:dyDescent="0.2">
      <c r="A11" s="16"/>
      <c r="B11" s="16"/>
      <c r="C11" s="17"/>
      <c r="D11" s="18" t="s">
        <v>9</v>
      </c>
      <c r="E11" s="17"/>
      <c r="F11" s="17"/>
      <c r="G11" s="17"/>
      <c r="H11" s="19" t="s">
        <v>10</v>
      </c>
      <c r="I11" s="17"/>
      <c r="J11" s="17"/>
      <c r="K11" s="17"/>
      <c r="L11" s="18" t="s">
        <v>11</v>
      </c>
      <c r="M11" s="18"/>
      <c r="N11" s="18" t="s">
        <v>9</v>
      </c>
      <c r="O11" s="18" t="s">
        <v>11</v>
      </c>
      <c r="P11" s="20"/>
      <c r="Q11" s="18" t="s">
        <v>11</v>
      </c>
      <c r="R11" s="18" t="s">
        <v>11</v>
      </c>
      <c r="S11" s="18"/>
      <c r="T11" s="18"/>
      <c r="U11" s="20"/>
      <c r="V11" s="18" t="s">
        <v>11</v>
      </c>
    </row>
    <row r="12" spans="1:22" s="25" customFormat="1" ht="12" x14ac:dyDescent="0.2">
      <c r="A12" s="22"/>
      <c r="B12" s="22"/>
      <c r="C12" s="18" t="s">
        <v>12</v>
      </c>
      <c r="D12" s="23" t="s">
        <v>13</v>
      </c>
      <c r="E12" s="18" t="s">
        <v>12</v>
      </c>
      <c r="F12" s="18" t="s">
        <v>14</v>
      </c>
      <c r="G12" s="18"/>
      <c r="H12" s="19" t="s">
        <v>15</v>
      </c>
      <c r="I12" s="18" t="s">
        <v>16</v>
      </c>
      <c r="J12" s="18"/>
      <c r="K12" s="18"/>
      <c r="L12" s="24" t="s">
        <v>10</v>
      </c>
      <c r="M12" s="18" t="s">
        <v>17</v>
      </c>
      <c r="N12" s="18" t="s">
        <v>17</v>
      </c>
      <c r="O12" s="18" t="s">
        <v>17</v>
      </c>
      <c r="P12" s="24"/>
      <c r="Q12" s="24" t="s">
        <v>10</v>
      </c>
      <c r="R12" s="18" t="s">
        <v>18</v>
      </c>
      <c r="S12" s="18"/>
      <c r="T12" s="18" t="s">
        <v>72</v>
      </c>
      <c r="U12" s="24"/>
      <c r="V12" s="18" t="s">
        <v>11</v>
      </c>
    </row>
    <row r="13" spans="1:22" s="25" customFormat="1" ht="12" x14ac:dyDescent="0.2">
      <c r="A13" s="26" t="s">
        <v>19</v>
      </c>
      <c r="B13" s="26"/>
      <c r="C13" s="27" t="s">
        <v>20</v>
      </c>
      <c r="D13" s="27" t="s">
        <v>12</v>
      </c>
      <c r="E13" s="27" t="s">
        <v>21</v>
      </c>
      <c r="F13" s="27" t="s">
        <v>22</v>
      </c>
      <c r="G13" s="27"/>
      <c r="H13" s="28" t="s">
        <v>23</v>
      </c>
      <c r="I13" s="27" t="s">
        <v>24</v>
      </c>
      <c r="J13" s="23"/>
      <c r="K13" s="23"/>
      <c r="L13" s="27" t="s">
        <v>25</v>
      </c>
      <c r="M13" s="27" t="s">
        <v>26</v>
      </c>
      <c r="N13" s="27" t="s">
        <v>12</v>
      </c>
      <c r="O13" s="27" t="s">
        <v>22</v>
      </c>
      <c r="P13" s="29"/>
      <c r="Q13" s="27" t="s">
        <v>8</v>
      </c>
      <c r="R13" s="27" t="s">
        <v>22</v>
      </c>
      <c r="S13" s="23"/>
      <c r="T13" s="27" t="s">
        <v>22</v>
      </c>
      <c r="U13" s="24"/>
      <c r="V13" s="27" t="s">
        <v>27</v>
      </c>
    </row>
    <row r="14" spans="1:22" x14ac:dyDescent="0.25">
      <c r="A14" s="5">
        <v>43922</v>
      </c>
      <c r="B14" s="5"/>
      <c r="C14" s="30"/>
      <c r="D14" s="30"/>
      <c r="E14" s="30"/>
      <c r="F14" s="30"/>
      <c r="G14" s="30"/>
      <c r="H14" s="31"/>
      <c r="I14" s="30"/>
      <c r="J14" s="30"/>
      <c r="K14" s="32"/>
      <c r="L14" s="33"/>
      <c r="M14" s="34"/>
      <c r="N14" s="34"/>
      <c r="O14" s="34"/>
      <c r="P14" s="32"/>
      <c r="Q14" s="35"/>
      <c r="R14" s="32"/>
      <c r="S14" s="32"/>
      <c r="T14" s="30"/>
      <c r="U14" s="36"/>
      <c r="V14" s="30">
        <f>F14+O14+R14+T14</f>
        <v>0</v>
      </c>
    </row>
    <row r="15" spans="1:22" x14ac:dyDescent="0.25">
      <c r="A15" s="5">
        <v>43952</v>
      </c>
      <c r="B15" s="5"/>
      <c r="C15" s="30"/>
      <c r="D15" s="30"/>
      <c r="E15" s="30"/>
      <c r="F15" s="30"/>
      <c r="G15" s="30"/>
      <c r="H15" s="31"/>
      <c r="I15" s="30"/>
      <c r="J15" s="30"/>
      <c r="K15" s="37"/>
      <c r="L15" s="37"/>
      <c r="M15" s="30"/>
      <c r="N15" s="30"/>
      <c r="O15" s="30"/>
      <c r="P15" s="37"/>
      <c r="Q15" s="35"/>
      <c r="R15" s="32"/>
      <c r="S15" s="32"/>
      <c r="T15" s="30"/>
      <c r="U15" s="37"/>
      <c r="V15" s="30">
        <f t="shared" ref="V15:V25" si="0">F15+O15+R15+T15</f>
        <v>0</v>
      </c>
    </row>
    <row r="16" spans="1:22" x14ac:dyDescent="0.25">
      <c r="A16" s="5">
        <v>43983</v>
      </c>
      <c r="B16" s="5"/>
      <c r="C16" s="30"/>
      <c r="D16" s="30"/>
      <c r="E16" s="30"/>
      <c r="F16" s="30"/>
      <c r="G16" s="30"/>
      <c r="H16" s="31"/>
      <c r="I16" s="30"/>
      <c r="J16" s="30"/>
      <c r="K16" s="37"/>
      <c r="L16" s="37"/>
      <c r="M16" s="30"/>
      <c r="N16" s="30"/>
      <c r="O16" s="30"/>
      <c r="P16" s="37"/>
      <c r="Q16" s="35"/>
      <c r="R16" s="32"/>
      <c r="S16" s="32"/>
      <c r="T16" s="30"/>
      <c r="U16" s="37"/>
      <c r="V16" s="30">
        <f t="shared" si="0"/>
        <v>0</v>
      </c>
    </row>
    <row r="17" spans="1:22" x14ac:dyDescent="0.25">
      <c r="A17" s="5">
        <v>44013</v>
      </c>
      <c r="B17" s="5"/>
      <c r="C17" s="30"/>
      <c r="D17" s="30"/>
      <c r="E17" s="30"/>
      <c r="F17" s="30"/>
      <c r="G17" s="38"/>
      <c r="H17" s="31"/>
      <c r="I17" s="30"/>
      <c r="J17" s="30"/>
      <c r="K17" s="38"/>
      <c r="L17" s="37"/>
      <c r="M17" s="30"/>
      <c r="N17" s="30"/>
      <c r="O17" s="30"/>
      <c r="P17" s="38"/>
      <c r="Q17" s="35"/>
      <c r="R17" s="32"/>
      <c r="S17" s="32"/>
      <c r="T17" s="30"/>
      <c r="U17" s="38"/>
      <c r="V17" s="30">
        <f t="shared" si="0"/>
        <v>0</v>
      </c>
    </row>
    <row r="18" spans="1:22" x14ac:dyDescent="0.25">
      <c r="A18" s="5">
        <v>44044</v>
      </c>
      <c r="B18" s="5"/>
      <c r="C18" s="30"/>
      <c r="D18" s="30"/>
      <c r="E18" s="30"/>
      <c r="F18" s="30"/>
      <c r="G18" s="38"/>
      <c r="H18" s="31"/>
      <c r="I18" s="30"/>
      <c r="J18" s="30"/>
      <c r="K18" s="38"/>
      <c r="L18" s="37"/>
      <c r="M18" s="30"/>
      <c r="N18" s="30"/>
      <c r="O18" s="30"/>
      <c r="P18" s="38"/>
      <c r="Q18" s="35"/>
      <c r="R18" s="32"/>
      <c r="S18" s="32"/>
      <c r="T18" s="30"/>
      <c r="U18" s="38"/>
      <c r="V18" s="30">
        <f t="shared" si="0"/>
        <v>0</v>
      </c>
    </row>
    <row r="19" spans="1:22" x14ac:dyDescent="0.25">
      <c r="A19" s="5">
        <v>44075</v>
      </c>
      <c r="B19" s="5"/>
      <c r="C19" s="30">
        <v>66416267.659999996</v>
      </c>
      <c r="D19" s="30">
        <v>51924.59</v>
      </c>
      <c r="E19" s="30">
        <v>60142435.920000002</v>
      </c>
      <c r="F19" s="30">
        <v>6221907.1500000004</v>
      </c>
      <c r="G19" s="38"/>
      <c r="H19" s="31">
        <v>690.86</v>
      </c>
      <c r="I19" s="30">
        <f>F19/H19/22</f>
        <v>409.36508317696257</v>
      </c>
      <c r="J19" s="30"/>
      <c r="K19" s="38"/>
      <c r="L19" s="107">
        <v>53</v>
      </c>
      <c r="M19" s="30">
        <v>5570014</v>
      </c>
      <c r="N19" s="30">
        <v>9375</v>
      </c>
      <c r="O19" s="30">
        <v>931170.33</v>
      </c>
      <c r="P19" s="38"/>
      <c r="Q19" s="35">
        <v>0</v>
      </c>
      <c r="R19" s="32">
        <v>0</v>
      </c>
      <c r="S19" s="32"/>
      <c r="T19" s="30">
        <v>623586.81000000006</v>
      </c>
      <c r="U19" s="38"/>
      <c r="V19" s="30">
        <f t="shared" si="0"/>
        <v>7776664.290000001</v>
      </c>
    </row>
    <row r="20" spans="1:22" x14ac:dyDescent="0.25">
      <c r="A20" s="5">
        <v>44105</v>
      </c>
      <c r="B20" s="5"/>
      <c r="C20" s="30">
        <v>87073520.140000001</v>
      </c>
      <c r="D20" s="30">
        <v>261174.74</v>
      </c>
      <c r="E20" s="30">
        <v>79024024.739999995</v>
      </c>
      <c r="F20" s="30">
        <v>7788320.6600000001</v>
      </c>
      <c r="G20" s="38"/>
      <c r="H20" s="31">
        <v>732.54</v>
      </c>
      <c r="I20" s="30">
        <f>F20/H20/31</f>
        <v>342.96577705324029</v>
      </c>
      <c r="J20" s="30"/>
      <c r="K20" s="38"/>
      <c r="L20" s="107">
        <v>63.25</v>
      </c>
      <c r="M20" s="30">
        <v>12164079</v>
      </c>
      <c r="N20" s="30">
        <v>43750</v>
      </c>
      <c r="O20" s="30">
        <v>2106398.73</v>
      </c>
      <c r="P20" s="38"/>
      <c r="Q20" s="35">
        <v>0</v>
      </c>
      <c r="R20" s="32">
        <v>0</v>
      </c>
      <c r="S20" s="32"/>
      <c r="T20" s="30">
        <v>1074630.6599999999</v>
      </c>
      <c r="U20" s="38"/>
      <c r="V20" s="30">
        <f t="shared" si="0"/>
        <v>10969350.050000001</v>
      </c>
    </row>
    <row r="21" spans="1:22" x14ac:dyDescent="0.25">
      <c r="A21" s="5">
        <v>44136</v>
      </c>
      <c r="B21" s="5"/>
      <c r="C21" s="30">
        <v>73167906.920000002</v>
      </c>
      <c r="D21" s="30">
        <v>115974.07</v>
      </c>
      <c r="E21" s="30">
        <v>66296786.060000002</v>
      </c>
      <c r="F21" s="30">
        <v>6755146.79</v>
      </c>
      <c r="G21" s="38"/>
      <c r="H21" s="31">
        <v>805</v>
      </c>
      <c r="I21" s="30">
        <f>F21/H21/30</f>
        <v>279.71622318840582</v>
      </c>
      <c r="J21" s="30"/>
      <c r="K21" s="38"/>
      <c r="L21" s="107">
        <v>58</v>
      </c>
      <c r="M21" s="30">
        <v>10106852</v>
      </c>
      <c r="N21" s="30">
        <v>30650</v>
      </c>
      <c r="O21" s="30">
        <v>2302542.4500000002</v>
      </c>
      <c r="P21" s="38"/>
      <c r="Q21" s="35">
        <v>0</v>
      </c>
      <c r="R21" s="32">
        <v>0</v>
      </c>
      <c r="S21" s="32"/>
      <c r="T21" s="30">
        <v>1048553.38</v>
      </c>
      <c r="U21" s="38"/>
      <c r="V21" s="30">
        <f>F21+O21+R21+T21</f>
        <v>10106242.620000001</v>
      </c>
    </row>
    <row r="22" spans="1:22" x14ac:dyDescent="0.25">
      <c r="A22" s="5">
        <v>44166</v>
      </c>
      <c r="B22" s="5"/>
      <c r="C22" s="30">
        <v>68530362.329999998</v>
      </c>
      <c r="D22" s="30">
        <v>151944.42000000001</v>
      </c>
      <c r="E22" s="30">
        <v>62214755.579999998</v>
      </c>
      <c r="F22" s="30">
        <v>6163662.3300000001</v>
      </c>
      <c r="G22" s="38"/>
      <c r="H22" s="31">
        <v>817.67</v>
      </c>
      <c r="I22" s="30">
        <f>F22/H22/31</f>
        <v>243.16388897327064</v>
      </c>
      <c r="J22" s="30"/>
      <c r="K22" s="38"/>
      <c r="L22" s="107">
        <v>58</v>
      </c>
      <c r="M22" s="30">
        <v>8748100</v>
      </c>
      <c r="N22" s="30">
        <v>37225</v>
      </c>
      <c r="O22" s="30">
        <v>2003749</v>
      </c>
      <c r="P22" s="38"/>
      <c r="Q22" s="35">
        <v>0</v>
      </c>
      <c r="R22" s="32">
        <v>0</v>
      </c>
      <c r="S22" s="32"/>
      <c r="T22" s="30">
        <v>949804.41</v>
      </c>
      <c r="U22" s="38"/>
      <c r="V22" s="30">
        <f t="shared" si="0"/>
        <v>9117215.7400000002</v>
      </c>
    </row>
    <row r="23" spans="1:22" x14ac:dyDescent="0.25">
      <c r="A23" s="5">
        <v>44197</v>
      </c>
      <c r="B23" s="5"/>
      <c r="C23" s="30">
        <v>87936825.200000003</v>
      </c>
      <c r="D23" s="30">
        <v>150640.35999999999</v>
      </c>
      <c r="E23" s="30">
        <v>79845206.930000007</v>
      </c>
      <c r="F23" s="30">
        <v>7940977.9100000001</v>
      </c>
      <c r="G23" s="38"/>
      <c r="H23" s="31">
        <v>820</v>
      </c>
      <c r="I23" s="30">
        <f>F23/H23/31</f>
        <v>312.39094846577495</v>
      </c>
      <c r="J23" s="30"/>
      <c r="K23" s="38"/>
      <c r="L23" s="107">
        <v>58</v>
      </c>
      <c r="M23" s="30">
        <v>10894446</v>
      </c>
      <c r="N23" s="30">
        <v>42345</v>
      </c>
      <c r="O23" s="30">
        <v>2053911.85</v>
      </c>
      <c r="P23" s="38"/>
      <c r="Q23" s="35">
        <v>0</v>
      </c>
      <c r="R23" s="32">
        <v>0</v>
      </c>
      <c r="S23" s="32"/>
      <c r="T23" s="30">
        <v>1429139.84</v>
      </c>
      <c r="U23" s="38"/>
      <c r="V23" s="30">
        <f t="shared" si="0"/>
        <v>11424029.6</v>
      </c>
    </row>
    <row r="24" spans="1:22" x14ac:dyDescent="0.25">
      <c r="A24" s="5">
        <v>44228</v>
      </c>
      <c r="B24" s="5"/>
      <c r="C24" s="30">
        <v>86693699.959999993</v>
      </c>
      <c r="D24" s="30">
        <v>176055.49</v>
      </c>
      <c r="E24" s="30">
        <v>78780612.049999997</v>
      </c>
      <c r="F24" s="30">
        <v>7737032.4199999999</v>
      </c>
      <c r="G24" s="38"/>
      <c r="H24" s="31">
        <v>821.42</v>
      </c>
      <c r="I24" s="30">
        <f>F24/H24/28</f>
        <v>336.39622413451269</v>
      </c>
      <c r="J24" s="30"/>
      <c r="K24" s="38"/>
      <c r="L24" s="107">
        <v>58.14</v>
      </c>
      <c r="M24" s="30">
        <v>10090322</v>
      </c>
      <c r="N24" s="30">
        <v>44400</v>
      </c>
      <c r="O24" s="30">
        <v>2089666.55</v>
      </c>
      <c r="P24" s="38"/>
      <c r="Q24" s="35">
        <v>0</v>
      </c>
      <c r="R24" s="32">
        <v>0</v>
      </c>
      <c r="S24" s="32"/>
      <c r="T24" s="30">
        <v>463663.21</v>
      </c>
      <c r="U24" s="38"/>
      <c r="V24" s="30">
        <f t="shared" si="0"/>
        <v>10290362.180000002</v>
      </c>
    </row>
    <row r="25" spans="1:22" x14ac:dyDescent="0.25">
      <c r="A25" s="5">
        <v>44256</v>
      </c>
      <c r="B25" s="5"/>
      <c r="C25" s="30">
        <v>117109162.52</v>
      </c>
      <c r="D25" s="30">
        <v>274835.65999999997</v>
      </c>
      <c r="E25" s="30">
        <v>106435354.3</v>
      </c>
      <c r="F25" s="30">
        <v>10398972.560000001</v>
      </c>
      <c r="G25" s="38"/>
      <c r="H25" s="31">
        <v>848.96</v>
      </c>
      <c r="I25" s="30">
        <f>F25/H25/31</f>
        <v>395.13136984302616</v>
      </c>
      <c r="J25" s="30"/>
      <c r="K25" s="38"/>
      <c r="L25" s="107">
        <v>59</v>
      </c>
      <c r="M25" s="30">
        <v>12629692</v>
      </c>
      <c r="N25" s="30">
        <v>48470</v>
      </c>
      <c r="O25" s="30">
        <v>2668565.5</v>
      </c>
      <c r="P25" s="38"/>
      <c r="Q25" s="35">
        <v>0</v>
      </c>
      <c r="R25" s="32">
        <v>0</v>
      </c>
      <c r="S25" s="32"/>
      <c r="T25" s="30">
        <v>821648.64</v>
      </c>
      <c r="U25" s="38"/>
      <c r="V25" s="30">
        <f t="shared" si="0"/>
        <v>13889186.700000001</v>
      </c>
    </row>
    <row r="26" spans="1:22" ht="15.75" thickBot="1" x14ac:dyDescent="0.3">
      <c r="A26" s="5" t="s">
        <v>28</v>
      </c>
      <c r="B26" s="5"/>
      <c r="C26" s="39">
        <f>SUM(C14:C25)</f>
        <v>586927744.73000002</v>
      </c>
      <c r="D26" s="39">
        <f>SUM(D14:D25)</f>
        <v>1182549.3299999998</v>
      </c>
      <c r="E26" s="39">
        <f>SUM(E14:E25)</f>
        <v>532739175.58000004</v>
      </c>
      <c r="F26" s="39">
        <f>SUM(F14:F25)</f>
        <v>53006019.820000008</v>
      </c>
      <c r="G26" s="39"/>
      <c r="H26" s="40">
        <v>794.86</v>
      </c>
      <c r="I26" s="41">
        <f>F26/H26/204</f>
        <v>326.89206966031264</v>
      </c>
      <c r="J26" s="42"/>
      <c r="K26" s="30"/>
      <c r="L26" s="43">
        <v>58.48</v>
      </c>
      <c r="M26" s="39">
        <f>SUM(M14:M25)</f>
        <v>70203505</v>
      </c>
      <c r="N26" s="39">
        <f>SUM(N14:N25)</f>
        <v>256215</v>
      </c>
      <c r="O26" s="39">
        <f>SUM(O14:O25)</f>
        <v>14156004.41</v>
      </c>
      <c r="P26" s="44"/>
      <c r="Q26" s="45">
        <v>0</v>
      </c>
      <c r="R26" s="39">
        <f>SUM(R14:R25)</f>
        <v>0</v>
      </c>
      <c r="S26" s="44"/>
      <c r="T26" s="39">
        <f>SUM(T14:T25)</f>
        <v>6411026.9500000002</v>
      </c>
      <c r="U26" s="44"/>
      <c r="V26" s="39">
        <f>SUM(V14:V25)</f>
        <v>73573051.180000007</v>
      </c>
    </row>
    <row r="27" spans="1:22" ht="10.5" customHeight="1" thickTop="1" x14ac:dyDescent="0.25">
      <c r="A27" s="5"/>
      <c r="B27" s="5"/>
      <c r="C27" s="46"/>
      <c r="D27" s="46"/>
      <c r="E27" s="46"/>
      <c r="F27" s="46"/>
      <c r="G27" s="46"/>
      <c r="H27" s="46"/>
      <c r="I27" s="35"/>
      <c r="J27" s="32"/>
      <c r="K27" s="32"/>
      <c r="L27" s="47"/>
      <c r="M27" s="46"/>
      <c r="N27" s="46"/>
      <c r="O27" s="46"/>
      <c r="P27" s="46"/>
      <c r="Q27" s="47"/>
      <c r="R27" s="46"/>
      <c r="S27" s="46"/>
      <c r="T27" s="46"/>
      <c r="U27" s="36"/>
      <c r="V27" s="36"/>
    </row>
    <row r="28" spans="1:22" s="52" customFormat="1" x14ac:dyDescent="0.25">
      <c r="A28" s="48"/>
      <c r="B28" s="48"/>
      <c r="C28" s="49"/>
      <c r="D28" s="50">
        <f>D26/$C$26</f>
        <v>2.0148124545449784E-3</v>
      </c>
      <c r="E28" s="50">
        <f>E26/$C$26</f>
        <v>0.90767420753822448</v>
      </c>
      <c r="F28" s="50">
        <f>F26/C26</f>
        <v>9.0310980007230646E-2</v>
      </c>
      <c r="G28" s="50"/>
      <c r="H28" s="49"/>
      <c r="I28" s="51"/>
      <c r="J28" s="51"/>
      <c r="K28" s="51"/>
      <c r="L28" s="49"/>
      <c r="M28" s="49"/>
      <c r="N28" s="49"/>
      <c r="O28" s="49">
        <f>O26/$M$26</f>
        <v>0.20164241671409427</v>
      </c>
      <c r="P28" s="49"/>
      <c r="Q28" s="49"/>
      <c r="R28" s="49"/>
      <c r="S28" s="49"/>
      <c r="T28" s="49"/>
      <c r="U28" s="51"/>
      <c r="V28" s="51"/>
    </row>
    <row r="29" spans="1:22" s="52" customFormat="1" x14ac:dyDescent="0.25">
      <c r="A29" s="48"/>
      <c r="B29" s="48"/>
      <c r="C29" s="49"/>
      <c r="D29" s="49"/>
      <c r="E29" s="49"/>
      <c r="F29" s="49"/>
      <c r="G29" s="49"/>
      <c r="H29" s="49"/>
      <c r="I29" s="51"/>
      <c r="J29" s="51"/>
      <c r="K29" s="51"/>
      <c r="L29" s="49"/>
      <c r="M29" s="49"/>
      <c r="N29" s="49"/>
      <c r="O29" s="49"/>
      <c r="P29" s="49"/>
      <c r="Q29" s="49"/>
      <c r="R29" s="49"/>
      <c r="S29" s="49"/>
      <c r="T29" s="49"/>
      <c r="U29" s="51"/>
      <c r="V29" s="51"/>
    </row>
    <row r="30" spans="1:22" s="52" customFormat="1" x14ac:dyDescent="0.25">
      <c r="A30" s="121" t="s">
        <v>29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3"/>
    </row>
    <row r="31" spans="1:22" s="52" customFormat="1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4"/>
      <c r="V31" s="54"/>
    </row>
    <row r="32" spans="1:22" s="52" customFormat="1" x14ac:dyDescent="0.25">
      <c r="A32" s="53"/>
      <c r="B32" s="53"/>
      <c r="C32" s="53"/>
      <c r="D32" s="53"/>
      <c r="E32" s="53"/>
      <c r="F32" s="53"/>
      <c r="G32" s="53"/>
      <c r="H32" s="124" t="s">
        <v>30</v>
      </c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6"/>
      <c r="U32" s="104"/>
      <c r="V32" s="104"/>
    </row>
    <row r="33" spans="1:23" s="60" customFormat="1" ht="12" x14ac:dyDescent="0.2">
      <c r="A33" s="55"/>
      <c r="B33" s="55"/>
      <c r="C33" s="55"/>
      <c r="D33" s="55"/>
      <c r="E33" s="55"/>
      <c r="F33" s="55" t="s">
        <v>31</v>
      </c>
      <c r="G33" s="55"/>
      <c r="H33" s="56" t="s">
        <v>32</v>
      </c>
      <c r="I33" s="56" t="s">
        <v>33</v>
      </c>
      <c r="J33" s="56" t="s">
        <v>34</v>
      </c>
      <c r="K33" s="57"/>
      <c r="L33" s="57"/>
      <c r="M33" s="106"/>
      <c r="N33" s="106"/>
      <c r="O33" s="106"/>
      <c r="P33" s="106"/>
      <c r="Q33" s="106"/>
      <c r="R33" s="59"/>
      <c r="S33" s="59"/>
      <c r="T33" s="59"/>
      <c r="U33" s="55"/>
      <c r="V33" s="55"/>
    </row>
    <row r="34" spans="1:23" s="60" customFormat="1" ht="12.75" customHeight="1" x14ac:dyDescent="0.2">
      <c r="A34" s="55"/>
      <c r="B34" s="55"/>
      <c r="C34" s="18" t="s">
        <v>35</v>
      </c>
      <c r="D34" s="55" t="s">
        <v>11</v>
      </c>
      <c r="E34" s="55" t="s">
        <v>36</v>
      </c>
      <c r="F34" s="55" t="s">
        <v>37</v>
      </c>
      <c r="G34" s="55"/>
      <c r="H34" s="56" t="s">
        <v>38</v>
      </c>
      <c r="I34" s="56" t="s">
        <v>39</v>
      </c>
      <c r="J34" s="56" t="s">
        <v>40</v>
      </c>
      <c r="K34" s="57"/>
      <c r="L34" s="116" t="s">
        <v>41</v>
      </c>
      <c r="M34" s="116"/>
      <c r="N34" s="116"/>
      <c r="O34" s="116"/>
      <c r="P34" s="116"/>
      <c r="Q34" s="116"/>
      <c r="R34" s="116"/>
      <c r="S34" s="116"/>
      <c r="T34" s="116"/>
      <c r="U34" s="117"/>
      <c r="V34" s="117"/>
    </row>
    <row r="35" spans="1:23" s="60" customFormat="1" ht="12" x14ac:dyDescent="0.2">
      <c r="A35" s="55"/>
      <c r="B35" s="55"/>
      <c r="C35" s="27" t="s">
        <v>42</v>
      </c>
      <c r="D35" s="61" t="s">
        <v>43</v>
      </c>
      <c r="E35" s="61" t="s">
        <v>44</v>
      </c>
      <c r="F35" s="61" t="s">
        <v>45</v>
      </c>
      <c r="G35" s="59"/>
      <c r="H35" s="62" t="s">
        <v>46</v>
      </c>
      <c r="I35" s="62" t="s">
        <v>40</v>
      </c>
      <c r="J35" s="62" t="s">
        <v>47</v>
      </c>
      <c r="K35" s="105"/>
      <c r="L35" s="105" t="s">
        <v>48</v>
      </c>
      <c r="M35" s="105" t="s">
        <v>49</v>
      </c>
      <c r="N35" s="105" t="s">
        <v>50</v>
      </c>
      <c r="O35" s="105" t="s">
        <v>51</v>
      </c>
      <c r="P35" s="64"/>
      <c r="Q35" s="105" t="s">
        <v>52</v>
      </c>
      <c r="R35" s="65" t="s">
        <v>53</v>
      </c>
      <c r="S35" s="65"/>
      <c r="T35" s="65" t="s">
        <v>54</v>
      </c>
      <c r="U35" s="59"/>
      <c r="V35" s="59"/>
    </row>
    <row r="36" spans="1:23" s="52" customFormat="1" x14ac:dyDescent="0.25">
      <c r="A36" s="5">
        <v>43922</v>
      </c>
      <c r="B36" s="48"/>
      <c r="C36" s="44">
        <f>(F14*0.55)+(O14+R14+T14)*0.9</f>
        <v>0</v>
      </c>
      <c r="D36" s="44">
        <f>(F14*0.45)+(O14+R14+T14)*0.1</f>
        <v>0</v>
      </c>
      <c r="E36" s="30"/>
      <c r="F36" s="30"/>
      <c r="G36" s="51"/>
      <c r="H36" s="44">
        <f>F14*0.45*0.8+(O14+R14)*0.1*0.8+((E36+F36)*0.8)</f>
        <v>0</v>
      </c>
      <c r="I36" s="44">
        <f>(F14*0.45*0.05+(O14+R14)*0.1*0.05+((E36+F36)*0.05))</f>
        <v>0</v>
      </c>
      <c r="J36" s="44">
        <f>F14*0.45*0.05+(O14+R14)*0.1*0.05+((E36+F36)*0.05)</f>
        <v>0</v>
      </c>
      <c r="K36" s="30"/>
      <c r="L36" s="44">
        <f>(F14*0.45*0.1+(O14+R14)*0.1*0.1)*304204/884955+((E36+F36)*0.1*304204/884955)</f>
        <v>0</v>
      </c>
      <c r="M36" s="44">
        <f>(F14*0.45*0.1+(O14+R14)*0.1*0.1)*55531/884955+((E36+F36)*0.1*55531/884955)</f>
        <v>0</v>
      </c>
      <c r="N36" s="44">
        <f>(F14*0.45*0.1+(O14+R14)*0.1*0.1)*50219/884955+((E36+F36)*0.1*50219/884955)</f>
        <v>0</v>
      </c>
      <c r="O36" s="44">
        <f>(F14*0.45*0.1+(O14+R14)*0.1*0.1)*159429/884955+((E36+F36)*0.1*159429/884955)</f>
        <v>0</v>
      </c>
      <c r="P36" s="66"/>
      <c r="Q36" s="44">
        <f>(F14*0.45*0.1+(O14+R14)*0.1*0.1)*219607/884955+((E36+F36)*0.1*219607/884955)</f>
        <v>0</v>
      </c>
      <c r="R36" s="44">
        <f>(F14*0.45*0.1+(O14+R14)*0.1*0.1)*32749/884955+((E36+F36)*0.1*32749/884955)</f>
        <v>0</v>
      </c>
      <c r="S36" s="44"/>
      <c r="T36" s="44">
        <f>(F14*0.45*0.1+(O14+R14+T14)*0.1*0.1)*63216/884955+((E36+F36)*0.1*63216/884955)</f>
        <v>0</v>
      </c>
      <c r="U36" s="30"/>
      <c r="V36" s="44"/>
    </row>
    <row r="37" spans="1:23" s="52" customFormat="1" x14ac:dyDescent="0.25">
      <c r="A37" s="5">
        <v>43952</v>
      </c>
      <c r="B37" s="48"/>
      <c r="C37" s="44">
        <f t="shared" ref="C37:C47" si="1">(F15*0.55)+(O15+R15+T15)*0.9</f>
        <v>0</v>
      </c>
      <c r="D37" s="44">
        <f t="shared" ref="D37:D47" si="2">(F15*0.45)+(O15+R15+T15)*0.1</f>
        <v>0</v>
      </c>
      <c r="E37" s="30"/>
      <c r="F37" s="30"/>
      <c r="G37" s="37"/>
      <c r="H37" s="44">
        <f t="shared" ref="H37:H38" si="3">F15*0.45*0.8+(O15+R15)*0.1*0.8+((E37+F37)*0.8)</f>
        <v>0</v>
      </c>
      <c r="I37" s="44">
        <f t="shared" ref="I37:I38" si="4">(F15*0.45*0.05+(O15+R15)*0.1*0.05+((E37+F37)*0.05))</f>
        <v>0</v>
      </c>
      <c r="J37" s="44">
        <f t="shared" ref="J37:J38" si="5">F15*0.45*0.05+(O15+R15)*0.1*0.05+((E37+F37)*0.05)</f>
        <v>0</v>
      </c>
      <c r="K37" s="30"/>
      <c r="L37" s="44">
        <f t="shared" ref="L37:L38" si="6">(F15*0.45*0.1+(O15+R15)*0.1*0.1)*304204/884955+((E37+F37)*0.1*304204/884955)</f>
        <v>0</v>
      </c>
      <c r="M37" s="44">
        <f t="shared" ref="M37:M38" si="7">(F15*0.45*0.1+(O15+R15)*0.1*0.1)*55531/884955+((E37+F37)*0.1*55531/884955)</f>
        <v>0</v>
      </c>
      <c r="N37" s="44">
        <f t="shared" ref="N37:N38" si="8">(F15*0.45*0.1+(O15+R15)*0.1*0.1)*50219/884955+((E37+F37)*0.1*50219/884955)</f>
        <v>0</v>
      </c>
      <c r="O37" s="44">
        <f t="shared" ref="O37:O38" si="9">(F15*0.45*0.1+(O15+R15)*0.1*0.1)*159429/884955+((E37+F37)*0.1*159429/884955)</f>
        <v>0</v>
      </c>
      <c r="P37" s="44"/>
      <c r="Q37" s="44">
        <f t="shared" ref="Q37:Q38" si="10">(F15*0.45*0.1+(O15+R15)*0.1*0.1)*219607/884955+((E37+F37)*0.1*219607/884955)</f>
        <v>0</v>
      </c>
      <c r="R37" s="44">
        <f t="shared" ref="R37:R38" si="11">(F15*0.45*0.1+(O15+R15)*0.1*0.1)*32749/884955+((E37+F37)*0.1*32749/884955)</f>
        <v>0</v>
      </c>
      <c r="S37" s="44"/>
      <c r="T37" s="44">
        <f t="shared" ref="T37:T47" si="12">(F15*0.45*0.1+(O15+R15+T15)*0.1*0.1)*63216/884955+((E37+F37)*0.1*63216/884955)</f>
        <v>0</v>
      </c>
      <c r="U37" s="30"/>
      <c r="V37" s="44"/>
    </row>
    <row r="38" spans="1:23" s="52" customFormat="1" x14ac:dyDescent="0.25">
      <c r="A38" s="5">
        <v>43983</v>
      </c>
      <c r="B38" s="48"/>
      <c r="C38" s="44">
        <f t="shared" si="1"/>
        <v>0</v>
      </c>
      <c r="D38" s="44">
        <f t="shared" si="2"/>
        <v>0</v>
      </c>
      <c r="E38" s="30"/>
      <c r="F38" s="30"/>
      <c r="G38" s="37"/>
      <c r="H38" s="44">
        <f t="shared" si="3"/>
        <v>0</v>
      </c>
      <c r="I38" s="44">
        <f t="shared" si="4"/>
        <v>0</v>
      </c>
      <c r="J38" s="44">
        <f t="shared" si="5"/>
        <v>0</v>
      </c>
      <c r="K38" s="30"/>
      <c r="L38" s="44">
        <f t="shared" si="6"/>
        <v>0</v>
      </c>
      <c r="M38" s="44">
        <f t="shared" si="7"/>
        <v>0</v>
      </c>
      <c r="N38" s="44">
        <f t="shared" si="8"/>
        <v>0</v>
      </c>
      <c r="O38" s="44">
        <f t="shared" si="9"/>
        <v>0</v>
      </c>
      <c r="P38" s="44"/>
      <c r="Q38" s="44">
        <f t="shared" si="10"/>
        <v>0</v>
      </c>
      <c r="R38" s="44">
        <f t="shared" si="11"/>
        <v>0</v>
      </c>
      <c r="S38" s="44"/>
      <c r="T38" s="44">
        <f t="shared" si="12"/>
        <v>0</v>
      </c>
      <c r="U38" s="30"/>
      <c r="V38" s="44"/>
    </row>
    <row r="39" spans="1:23" s="52" customFormat="1" x14ac:dyDescent="0.25">
      <c r="A39" s="5">
        <v>44013</v>
      </c>
      <c r="B39" s="48"/>
      <c r="C39" s="44">
        <f t="shared" si="1"/>
        <v>0</v>
      </c>
      <c r="D39" s="44">
        <f t="shared" si="2"/>
        <v>0</v>
      </c>
      <c r="E39" s="30"/>
      <c r="F39" s="30"/>
      <c r="G39" s="37"/>
      <c r="H39" s="44">
        <f>F17*0.45*0.8+(O17+R17+T17)*0.1*0.8+((E39+F39)*0.8)</f>
        <v>0</v>
      </c>
      <c r="I39" s="44">
        <f>(F17*0.45*0.05+(O17+R17+T17)*0.1*0.05+((E39+F39)*0.05))</f>
        <v>0</v>
      </c>
      <c r="J39" s="44">
        <f>F17*0.45*0.05+(O17+R17+T17)*0.1*0.05+((E39+F39)*0.05)</f>
        <v>0</v>
      </c>
      <c r="K39" s="30"/>
      <c r="L39" s="44">
        <f>(F17*0.45*0.1+(O17+R17+T17)*0.1*0.1)*304204/884955+((E39+F39)*0.1*304204/884955)</f>
        <v>0</v>
      </c>
      <c r="M39" s="44">
        <f>(F17*0.45*0.1+(O17+R17+T17)*0.1*0.1)*55531/884955+((E39+F39)*0.1*55531/884955)</f>
        <v>0</v>
      </c>
      <c r="N39" s="44">
        <f>(F17*0.45*0.1+(O17+R17+T17)*0.1*0.1)*50219/884955+((E39+F39)*0.1*50219/884955)</f>
        <v>0</v>
      </c>
      <c r="O39" s="44">
        <f>(F17*0.45*0.1+(O17+R17+T17)*0.1*0.1)*159429/884955+((E39+F39)*0.1*159429/884955)</f>
        <v>0</v>
      </c>
      <c r="P39" s="44"/>
      <c r="Q39" s="44">
        <f>(F17*0.45*0.1+(O17+R17+T17)*0.1*0.1)*219607/884955+((E39+F39)*0.1*219607/884955)</f>
        <v>0</v>
      </c>
      <c r="R39" s="44">
        <f>(F17*0.45*0.1+(O17+R17+T17)*0.1*0.1)*32749/884955+((E39+F39)*0.1*32749/884955)</f>
        <v>0</v>
      </c>
      <c r="S39" s="44"/>
      <c r="T39" s="44">
        <f t="shared" si="12"/>
        <v>0</v>
      </c>
      <c r="U39" s="38"/>
      <c r="V39" s="68">
        <f t="shared" ref="V39:V47" si="13">(F17*0.45*0.1+(O17+R17)*0.1*0.1)*63216/884955+((E39+F39)*0.1*63216/884955)</f>
        <v>0</v>
      </c>
    </row>
    <row r="40" spans="1:23" s="52" customFormat="1" x14ac:dyDescent="0.25">
      <c r="A40" s="5">
        <v>44044</v>
      </c>
      <c r="B40" s="48"/>
      <c r="C40" s="44">
        <f t="shared" si="1"/>
        <v>0</v>
      </c>
      <c r="D40" s="44">
        <f t="shared" si="2"/>
        <v>0</v>
      </c>
      <c r="E40" s="30"/>
      <c r="F40" s="30"/>
      <c r="G40" s="37"/>
      <c r="H40" s="44">
        <f t="shared" ref="H40:H47" si="14">F18*0.45*0.8+(O18+R18+T18)*0.1*0.8+((E40+F40)*0.8)</f>
        <v>0</v>
      </c>
      <c r="I40" s="44">
        <f t="shared" ref="I40:I47" si="15">(F18*0.45*0.05+(O18+R18+T18)*0.1*0.05+((E40+F40)*0.05))</f>
        <v>0</v>
      </c>
      <c r="J40" s="44">
        <f t="shared" ref="J40:J47" si="16">F18*0.45*0.05+(O18+R18+T18)*0.1*0.05+((E40+F40)*0.05)</f>
        <v>0</v>
      </c>
      <c r="K40" s="30"/>
      <c r="L40" s="44">
        <f t="shared" ref="L40:L47" si="17">(F18*0.45*0.1+(O18+R18+T18)*0.1*0.1)*304204/884955+((E40+F40)*0.1*304204/884955)</f>
        <v>0</v>
      </c>
      <c r="M40" s="44">
        <f t="shared" ref="M40:M47" si="18">(F18*0.45*0.1+(O18+R18+T18)*0.1*0.1)*55531/884955+((E40+F40)*0.1*55531/884955)</f>
        <v>0</v>
      </c>
      <c r="N40" s="44">
        <f t="shared" ref="N40:N47" si="19">(F18*0.45*0.1+(O18+R18+T18)*0.1*0.1)*50219/884955+((E40+F40)*0.1*50219/884955)</f>
        <v>0</v>
      </c>
      <c r="O40" s="44">
        <f t="shared" ref="O40:O47" si="20">(F18*0.45*0.1+(O18+R18+T18)*0.1*0.1)*159429/884955+((E40+F40)*0.1*159429/884955)</f>
        <v>0</v>
      </c>
      <c r="P40" s="44"/>
      <c r="Q40" s="44">
        <f t="shared" ref="Q40:Q47" si="21">(F18*0.45*0.1+(O18+R18+T18)*0.1*0.1)*219607/884955+((E40+F40)*0.1*219607/884955)</f>
        <v>0</v>
      </c>
      <c r="R40" s="44">
        <f t="shared" ref="R40:R47" si="22">(F18*0.45*0.1+(O18+R18+T18)*0.1*0.1)*32749/884955+((E40+F40)*0.1*32749/884955)</f>
        <v>0</v>
      </c>
      <c r="S40" s="44"/>
      <c r="T40" s="44">
        <f t="shared" si="12"/>
        <v>0</v>
      </c>
      <c r="U40" s="38"/>
      <c r="V40" s="68">
        <f t="shared" si="13"/>
        <v>0</v>
      </c>
      <c r="W40" s="67"/>
    </row>
    <row r="41" spans="1:23" s="52" customFormat="1" x14ac:dyDescent="0.25">
      <c r="A41" s="5">
        <v>44075</v>
      </c>
      <c r="B41" s="48"/>
      <c r="C41" s="44">
        <f t="shared" si="1"/>
        <v>4821330.358500001</v>
      </c>
      <c r="D41" s="44">
        <f t="shared" si="2"/>
        <v>2955333.9315000004</v>
      </c>
      <c r="E41" s="30">
        <v>0</v>
      </c>
      <c r="F41" s="30">
        <v>0</v>
      </c>
      <c r="G41" s="38"/>
      <c r="H41" s="44">
        <f t="shared" si="14"/>
        <v>2364267.1452000006</v>
      </c>
      <c r="I41" s="44">
        <f t="shared" si="15"/>
        <v>147766.69657500004</v>
      </c>
      <c r="J41" s="44">
        <f t="shared" si="16"/>
        <v>147766.69657500004</v>
      </c>
      <c r="K41" s="30"/>
      <c r="L41" s="44">
        <f t="shared" si="17"/>
        <v>101589.84392404431</v>
      </c>
      <c r="M41" s="44">
        <f t="shared" si="18"/>
        <v>18544.745049197591</v>
      </c>
      <c r="N41" s="44">
        <f t="shared" si="19"/>
        <v>16770.786616946458</v>
      </c>
      <c r="O41" s="44">
        <f t="shared" si="20"/>
        <v>53241.795725784206</v>
      </c>
      <c r="P41" s="44"/>
      <c r="Q41" s="44">
        <f t="shared" si="21"/>
        <v>73338.420450183417</v>
      </c>
      <c r="R41" s="44">
        <f t="shared" si="22"/>
        <v>10936.627390397649</v>
      </c>
      <c r="S41" s="44"/>
      <c r="T41" s="44">
        <f t="shared" si="12"/>
        <v>21111.173993446449</v>
      </c>
      <c r="U41" s="38"/>
      <c r="V41" s="68">
        <f t="shared" si="13"/>
        <v>20665.720114085805</v>
      </c>
    </row>
    <row r="42" spans="1:23" s="52" customFormat="1" x14ac:dyDescent="0.25">
      <c r="A42" s="5">
        <v>44105</v>
      </c>
      <c r="B42" s="48"/>
      <c r="C42" s="44">
        <f t="shared" si="1"/>
        <v>7146502.8140000012</v>
      </c>
      <c r="D42" s="44">
        <f t="shared" si="2"/>
        <v>3822847.2360000005</v>
      </c>
      <c r="E42" s="30">
        <v>3000</v>
      </c>
      <c r="F42" s="30">
        <f>5000+5000+1822</f>
        <v>11822</v>
      </c>
      <c r="G42" s="38"/>
      <c r="H42" s="44">
        <f t="shared" si="14"/>
        <v>3070135.3888000003</v>
      </c>
      <c r="I42" s="44">
        <f t="shared" si="15"/>
        <v>191883.46180000002</v>
      </c>
      <c r="J42" s="44">
        <f t="shared" si="16"/>
        <v>191883.46180000002</v>
      </c>
      <c r="K42" s="30"/>
      <c r="L42" s="44">
        <f t="shared" si="17"/>
        <v>131920.19167846319</v>
      </c>
      <c r="M42" s="44">
        <f t="shared" si="18"/>
        <v>24081.406438103182</v>
      </c>
      <c r="N42" s="44">
        <f t="shared" si="19"/>
        <v>21777.820495130716</v>
      </c>
      <c r="O42" s="44">
        <f t="shared" si="20"/>
        <v>69137.500621641098</v>
      </c>
      <c r="P42" s="44"/>
      <c r="Q42" s="44">
        <f t="shared" si="21"/>
        <v>95234.111102852912</v>
      </c>
      <c r="R42" s="44">
        <f t="shared" si="22"/>
        <v>14201.832840061248</v>
      </c>
      <c r="S42" s="44"/>
      <c r="T42" s="44">
        <f t="shared" si="12"/>
        <v>27414.060423747655</v>
      </c>
      <c r="U42" s="38"/>
      <c r="V42" s="68">
        <f t="shared" si="13"/>
        <v>26646.407245873525</v>
      </c>
    </row>
    <row r="43" spans="1:23" s="52" customFormat="1" x14ac:dyDescent="0.25">
      <c r="A43" s="5">
        <v>44136</v>
      </c>
      <c r="B43" s="48"/>
      <c r="C43" s="44">
        <f t="shared" si="1"/>
        <v>6731316.9814999998</v>
      </c>
      <c r="D43" s="44">
        <f t="shared" si="2"/>
        <v>3374925.6385000004</v>
      </c>
      <c r="E43" s="30">
        <v>3675</v>
      </c>
      <c r="F43" s="30">
        <v>0</v>
      </c>
      <c r="G43" s="38"/>
      <c r="H43" s="44">
        <f t="shared" si="14"/>
        <v>2702880.5108000003</v>
      </c>
      <c r="I43" s="44">
        <f t="shared" si="15"/>
        <v>168930.03192500002</v>
      </c>
      <c r="J43" s="44">
        <f t="shared" si="16"/>
        <v>168930.03192500002</v>
      </c>
      <c r="K43" s="30"/>
      <c r="L43" s="44">
        <f t="shared" si="17"/>
        <v>116139.67135439138</v>
      </c>
      <c r="M43" s="44">
        <f t="shared" si="18"/>
        <v>21200.747163024502</v>
      </c>
      <c r="N43" s="44">
        <f t="shared" si="19"/>
        <v>19172.720134338077</v>
      </c>
      <c r="O43" s="44">
        <f t="shared" si="20"/>
        <v>60867.153832162825</v>
      </c>
      <c r="P43" s="44"/>
      <c r="Q43" s="44">
        <f t="shared" si="21"/>
        <v>83842.042863091294</v>
      </c>
      <c r="R43" s="44">
        <f t="shared" si="22"/>
        <v>12502.985158594111</v>
      </c>
      <c r="S43" s="44"/>
      <c r="T43" s="44">
        <f t="shared" si="12"/>
        <v>24134.743344397852</v>
      </c>
      <c r="U43" s="38"/>
      <c r="V43" s="68">
        <f t="shared" si="13"/>
        <v>23385.718247414618</v>
      </c>
    </row>
    <row r="44" spans="1:23" s="52" customFormat="1" x14ac:dyDescent="0.25">
      <c r="A44" s="5">
        <v>44166</v>
      </c>
      <c r="B44" s="48"/>
      <c r="C44" s="44">
        <f t="shared" si="1"/>
        <v>6048212.3505000006</v>
      </c>
      <c r="D44" s="44">
        <f t="shared" si="2"/>
        <v>3069003.3895</v>
      </c>
      <c r="E44" s="30">
        <v>19035.52</v>
      </c>
      <c r="F44" s="30">
        <v>67939.73</v>
      </c>
      <c r="G44" s="38"/>
      <c r="H44" s="44">
        <f t="shared" si="14"/>
        <v>2524782.9116000002</v>
      </c>
      <c r="I44" s="44">
        <f t="shared" si="15"/>
        <v>157798.93197500001</v>
      </c>
      <c r="J44" s="44">
        <f t="shared" si="16"/>
        <v>157798.93197500001</v>
      </c>
      <c r="K44" s="30"/>
      <c r="L44" s="44">
        <f t="shared" si="17"/>
        <v>108487.02205767052</v>
      </c>
      <c r="M44" s="44">
        <f t="shared" si="18"/>
        <v>19803.792264021846</v>
      </c>
      <c r="N44" s="44">
        <f t="shared" si="19"/>
        <v>17909.395539552916</v>
      </c>
      <c r="O44" s="44">
        <f t="shared" si="20"/>
        <v>56856.508920436121</v>
      </c>
      <c r="P44" s="44"/>
      <c r="Q44" s="44">
        <f t="shared" si="21"/>
        <v>78317.541692478888</v>
      </c>
      <c r="R44" s="44">
        <f t="shared" si="22"/>
        <v>11679.141251813426</v>
      </c>
      <c r="S44" s="44"/>
      <c r="T44" s="44">
        <f t="shared" si="12"/>
        <v>22544.462224026305</v>
      </c>
      <c r="U44" s="38"/>
      <c r="V44" s="68">
        <f t="shared" si="13"/>
        <v>21865.977605231452</v>
      </c>
    </row>
    <row r="45" spans="1:23" s="52" customFormat="1" x14ac:dyDescent="0.25">
      <c r="A45" s="5">
        <v>44197</v>
      </c>
      <c r="B45" s="48"/>
      <c r="C45" s="44">
        <f t="shared" si="1"/>
        <v>7502284.3715000013</v>
      </c>
      <c r="D45" s="44">
        <f t="shared" si="2"/>
        <v>3921745.2285000002</v>
      </c>
      <c r="E45" s="30">
        <v>5288.14</v>
      </c>
      <c r="F45" s="30">
        <v>0</v>
      </c>
      <c r="G45" s="38"/>
      <c r="H45" s="44">
        <f t="shared" si="14"/>
        <v>3141626.6948000002</v>
      </c>
      <c r="I45" s="44">
        <f t="shared" si="15"/>
        <v>196351.66842500001</v>
      </c>
      <c r="J45" s="44">
        <f t="shared" si="16"/>
        <v>196351.66842500001</v>
      </c>
      <c r="K45" s="30"/>
      <c r="L45" s="44">
        <f t="shared" si="17"/>
        <v>134992.09099120001</v>
      </c>
      <c r="M45" s="44">
        <f t="shared" si="18"/>
        <v>24642.167114279651</v>
      </c>
      <c r="N45" s="44">
        <f t="shared" si="19"/>
        <v>22284.939768994074</v>
      </c>
      <c r="O45" s="44">
        <f t="shared" si="20"/>
        <v>70747.43946376782</v>
      </c>
      <c r="P45" s="44"/>
      <c r="Q45" s="44">
        <f t="shared" si="21"/>
        <v>97451.736750024531</v>
      </c>
      <c r="R45" s="44">
        <f t="shared" si="22"/>
        <v>14532.537336362471</v>
      </c>
      <c r="S45" s="44"/>
      <c r="T45" s="44">
        <f t="shared" si="12"/>
        <v>28052.425425371457</v>
      </c>
      <c r="U45" s="38"/>
      <c r="V45" s="68">
        <f t="shared" si="13"/>
        <v>27031.531660994289</v>
      </c>
    </row>
    <row r="46" spans="1:23" s="52" customFormat="1" x14ac:dyDescent="0.25">
      <c r="A46" s="5">
        <v>44228</v>
      </c>
      <c r="B46" s="48"/>
      <c r="C46" s="44">
        <f t="shared" si="1"/>
        <v>6553364.6150000002</v>
      </c>
      <c r="D46" s="44">
        <f t="shared" si="2"/>
        <v>3736997.5650000004</v>
      </c>
      <c r="E46" s="30">
        <v>28727.119999999999</v>
      </c>
      <c r="F46" s="30">
        <v>0</v>
      </c>
      <c r="G46" s="38"/>
      <c r="H46" s="44">
        <f t="shared" si="14"/>
        <v>3012579.7480000001</v>
      </c>
      <c r="I46" s="44">
        <f t="shared" si="15"/>
        <v>188286.23425000001</v>
      </c>
      <c r="J46" s="44">
        <f t="shared" si="16"/>
        <v>188286.23425000001</v>
      </c>
      <c r="K46" s="30"/>
      <c r="L46" s="44">
        <f t="shared" si="17"/>
        <v>129447.09189458675</v>
      </c>
      <c r="M46" s="44">
        <f t="shared" si="18"/>
        <v>23629.953781009772</v>
      </c>
      <c r="N46" s="44">
        <f t="shared" si="19"/>
        <v>21369.553023149765</v>
      </c>
      <c r="O46" s="44">
        <f t="shared" si="20"/>
        <v>67841.384116126254</v>
      </c>
      <c r="P46" s="44"/>
      <c r="Q46" s="44">
        <f t="shared" si="21"/>
        <v>93448.763033012423</v>
      </c>
      <c r="R46" s="44">
        <f t="shared" si="22"/>
        <v>13935.591946377499</v>
      </c>
      <c r="S46" s="44"/>
      <c r="T46" s="44">
        <f t="shared" si="12"/>
        <v>26900.130705737582</v>
      </c>
      <c r="U46" s="38"/>
      <c r="V46" s="68">
        <f t="shared" si="13"/>
        <v>26568.916875843854</v>
      </c>
    </row>
    <row r="47" spans="1:23" s="52" customFormat="1" x14ac:dyDescent="0.25">
      <c r="A47" s="5">
        <v>44256</v>
      </c>
      <c r="B47" s="48"/>
      <c r="C47" s="44">
        <f t="shared" si="1"/>
        <v>8860627.6340000015</v>
      </c>
      <c r="D47" s="44">
        <f t="shared" si="2"/>
        <v>5028559.0660000006</v>
      </c>
      <c r="E47" s="30">
        <v>37687.46</v>
      </c>
      <c r="F47" s="30">
        <v>0</v>
      </c>
      <c r="G47" s="38"/>
      <c r="H47" s="44">
        <f t="shared" si="14"/>
        <v>4052997.2208000007</v>
      </c>
      <c r="I47" s="44">
        <f t="shared" si="15"/>
        <v>253312.32630000004</v>
      </c>
      <c r="J47" s="44">
        <f t="shared" si="16"/>
        <v>253312.32630000004</v>
      </c>
      <c r="K47" s="30"/>
      <c r="L47" s="44">
        <f t="shared" si="17"/>
        <v>174152.63580580984</v>
      </c>
      <c r="M47" s="44">
        <f t="shared" si="18"/>
        <v>31790.739171517882</v>
      </c>
      <c r="N47" s="44">
        <f t="shared" si="19"/>
        <v>28749.691711916887</v>
      </c>
      <c r="O47" s="44">
        <f t="shared" si="20"/>
        <v>91270.925345769472</v>
      </c>
      <c r="P47" s="44"/>
      <c r="Q47" s="44">
        <f t="shared" si="21"/>
        <v>125722.00855809417</v>
      </c>
      <c r="R47" s="44">
        <f t="shared" si="22"/>
        <v>18748.355281339056</v>
      </c>
      <c r="S47" s="44"/>
      <c r="T47" s="44">
        <f t="shared" si="12"/>
        <v>36190.296725552835</v>
      </c>
      <c r="U47" s="38"/>
      <c r="V47" s="68">
        <f t="shared" si="13"/>
        <v>35603.35907983932</v>
      </c>
    </row>
    <row r="48" spans="1:23" s="52" customFormat="1" ht="15.75" thickBot="1" x14ac:dyDescent="0.3">
      <c r="A48" s="5" t="s">
        <v>28</v>
      </c>
      <c r="B48" s="48"/>
      <c r="C48" s="69">
        <f>SUM(C36:C47)</f>
        <v>47663639.125000007</v>
      </c>
      <c r="D48" s="69">
        <f>SUM(D36:D47)</f>
        <v>25909412.055000003</v>
      </c>
      <c r="E48" s="69">
        <f>SUM(E36:E47)</f>
        <v>97413.239999999991</v>
      </c>
      <c r="F48" s="39">
        <f>SUM(F36:F47)</f>
        <v>79761.73</v>
      </c>
      <c r="G48" s="46"/>
      <c r="H48" s="69">
        <f>SUM(H36:H47)</f>
        <v>20869269.620000005</v>
      </c>
      <c r="I48" s="69">
        <f t="shared" ref="I48:R48" si="23">SUM(I36:I47)</f>
        <v>1304329.3512500003</v>
      </c>
      <c r="J48" s="69">
        <f t="shared" si="23"/>
        <v>1304329.3512500003</v>
      </c>
      <c r="K48" s="69"/>
      <c r="L48" s="69">
        <f t="shared" si="23"/>
        <v>896728.54770616605</v>
      </c>
      <c r="M48" s="69">
        <f t="shared" si="23"/>
        <v>163693.55098115443</v>
      </c>
      <c r="N48" s="69">
        <f t="shared" si="23"/>
        <v>148034.9072900289</v>
      </c>
      <c r="O48" s="69">
        <f t="shared" si="23"/>
        <v>469962.70802568784</v>
      </c>
      <c r="P48" s="69"/>
      <c r="Q48" s="69">
        <f t="shared" si="23"/>
        <v>647354.6244497376</v>
      </c>
      <c r="R48" s="69">
        <f t="shared" si="23"/>
        <v>96537.071204945474</v>
      </c>
      <c r="S48" s="69"/>
      <c r="T48" s="69">
        <f>SUM(T36:T47)</f>
        <v>186347.29284228012</v>
      </c>
      <c r="U48" s="46"/>
      <c r="V48" s="68"/>
      <c r="W48" s="70"/>
    </row>
    <row r="49" spans="1:23" s="52" customFormat="1" ht="15.75" thickTop="1" x14ac:dyDescent="0.25">
      <c r="A49" s="48"/>
      <c r="B49" s="48"/>
      <c r="C49" s="46"/>
      <c r="D49" s="49"/>
      <c r="E49" s="49"/>
      <c r="F49" s="49"/>
      <c r="G49" s="49"/>
      <c r="H49" s="49"/>
      <c r="I49" s="49"/>
      <c r="J49" s="51"/>
      <c r="K49" s="51"/>
      <c r="L49" s="49"/>
      <c r="M49" s="49"/>
      <c r="N49" s="49"/>
      <c r="O49" s="49"/>
      <c r="P49" s="51"/>
      <c r="Q49" s="49"/>
      <c r="R49" s="51"/>
      <c r="S49" s="51"/>
      <c r="T49" s="51"/>
      <c r="U49" s="51"/>
      <c r="V49" s="68"/>
    </row>
    <row r="50" spans="1:23" s="52" customFormat="1" x14ac:dyDescent="0.25">
      <c r="A50" s="48"/>
      <c r="B50" s="48"/>
      <c r="C50" s="49">
        <f>C48/V26</f>
        <v>0.6478410010261586</v>
      </c>
      <c r="D50" s="49">
        <f>D48/V26</f>
        <v>0.3521589989738414</v>
      </c>
      <c r="E50" s="49"/>
      <c r="F50" s="49"/>
      <c r="G50" s="49"/>
      <c r="H50" s="49">
        <f>H48/($D48+$E$48+$F$48)</f>
        <v>0.80000000000000016</v>
      </c>
      <c r="I50" s="49">
        <f t="shared" ref="I50:R50" si="24">I48/($D48+$E$48+$F$48)</f>
        <v>5.000000000000001E-2</v>
      </c>
      <c r="J50" s="49">
        <f t="shared" si="24"/>
        <v>5.000000000000001E-2</v>
      </c>
      <c r="K50" s="49"/>
      <c r="L50" s="49">
        <f t="shared" si="24"/>
        <v>3.4375081218819041E-2</v>
      </c>
      <c r="M50" s="49">
        <f t="shared" si="24"/>
        <v>6.2750083337570839E-3</v>
      </c>
      <c r="N50" s="49">
        <f t="shared" si="24"/>
        <v>5.6747518235390508E-3</v>
      </c>
      <c r="O50" s="49">
        <f t="shared" si="24"/>
        <v>1.8015492313168468E-2</v>
      </c>
      <c r="P50" s="49"/>
      <c r="Q50" s="49">
        <f t="shared" si="24"/>
        <v>2.4815612093270278E-2</v>
      </c>
      <c r="R50" s="49">
        <f t="shared" si="24"/>
        <v>3.7006401455441243E-3</v>
      </c>
      <c r="S50" s="49"/>
      <c r="T50" s="49">
        <f>T48/($D48+$E$48+$F$48)</f>
        <v>7.1434140719019608E-3</v>
      </c>
      <c r="U50" s="49"/>
      <c r="V50" s="68"/>
    </row>
    <row r="51" spans="1:23" s="52" customFormat="1" x14ac:dyDescent="0.25">
      <c r="A51" s="48"/>
      <c r="B51" s="48"/>
      <c r="C51" s="49"/>
      <c r="D51" s="49"/>
      <c r="E51" s="51"/>
      <c r="F51" s="46"/>
      <c r="G51" s="51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1"/>
      <c r="V51" s="68"/>
      <c r="W51" s="70"/>
    </row>
    <row r="52" spans="1:23" s="52" customFormat="1" x14ac:dyDescent="0.25">
      <c r="A52" s="71" t="s">
        <v>55</v>
      </c>
      <c r="B52" s="48"/>
      <c r="C52" s="49"/>
      <c r="D52" s="49"/>
      <c r="E52" s="51"/>
      <c r="F52" s="51"/>
      <c r="G52" s="51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1"/>
      <c r="V52" s="68"/>
      <c r="W52" s="70"/>
    </row>
    <row r="53" spans="1:23" s="52" customFormat="1" x14ac:dyDescent="0.25">
      <c r="A53" s="72" t="s">
        <v>73</v>
      </c>
      <c r="B53" s="73"/>
      <c r="C53" s="74"/>
      <c r="D53" s="74"/>
      <c r="E53" s="54"/>
      <c r="F53" s="54"/>
      <c r="G53" s="5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54"/>
      <c r="V53" s="54"/>
      <c r="W53" s="70"/>
    </row>
    <row r="54" spans="1:23" s="52" customFormat="1" x14ac:dyDescent="0.25">
      <c r="A54" s="72" t="s">
        <v>57</v>
      </c>
      <c r="B54" s="73"/>
      <c r="C54" s="74"/>
      <c r="D54" s="74"/>
      <c r="E54" s="54"/>
      <c r="F54" s="54"/>
      <c r="G54" s="5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54"/>
      <c r="V54" s="54"/>
    </row>
    <row r="55" spans="1:23" s="52" customFormat="1" x14ac:dyDescent="0.25">
      <c r="A55" s="72"/>
      <c r="B55" s="73"/>
      <c r="C55" s="74"/>
      <c r="D55" s="74"/>
      <c r="E55" s="54"/>
      <c r="F55" s="54"/>
      <c r="G55" s="54"/>
      <c r="H55" s="75"/>
      <c r="I55" s="75"/>
      <c r="J55" s="75"/>
      <c r="K55" s="74"/>
      <c r="L55" s="76"/>
      <c r="M55" s="76"/>
      <c r="N55" s="76"/>
      <c r="O55" s="76"/>
      <c r="P55" s="74"/>
      <c r="Q55" s="76"/>
      <c r="R55" s="76"/>
      <c r="S55" s="76"/>
      <c r="T55" s="76"/>
      <c r="U55" s="77"/>
      <c r="V55" s="77"/>
    </row>
    <row r="56" spans="1:23" s="52" customFormat="1" ht="15" customHeight="1" x14ac:dyDescent="0.25">
      <c r="A56" s="72" t="s">
        <v>58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</row>
    <row r="57" spans="1:23" s="52" customFormat="1" x14ac:dyDescent="0.25">
      <c r="A57" s="54"/>
      <c r="B57" s="73"/>
      <c r="C57" s="74"/>
      <c r="D57" s="79"/>
      <c r="E57" s="54"/>
      <c r="F57" s="54"/>
      <c r="G57" s="5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54"/>
      <c r="V57" s="54"/>
    </row>
    <row r="58" spans="1:23" ht="15" customHeight="1" x14ac:dyDescent="0.25">
      <c r="A58" s="80" t="s">
        <v>59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32"/>
      <c r="P58" s="32"/>
      <c r="Q58" s="32"/>
      <c r="R58" s="32"/>
      <c r="S58" s="32"/>
      <c r="T58" s="32"/>
      <c r="U58" s="36"/>
      <c r="V58" s="36"/>
    </row>
    <row r="59" spans="1:23" x14ac:dyDescent="0.25">
      <c r="A59" s="80" t="s">
        <v>74</v>
      </c>
      <c r="B59" s="5"/>
      <c r="C59" s="32"/>
      <c r="D59" s="32"/>
      <c r="E59" s="32"/>
      <c r="F59" s="32"/>
      <c r="G59" s="32"/>
      <c r="H59" s="32"/>
      <c r="I59" s="35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6"/>
      <c r="V59" s="36"/>
    </row>
    <row r="60" spans="1:23" x14ac:dyDescent="0.25">
      <c r="A60" s="5"/>
      <c r="B60" s="5"/>
      <c r="C60" s="32"/>
      <c r="D60" s="32"/>
      <c r="E60" s="32"/>
      <c r="F60" s="32"/>
      <c r="G60" s="32"/>
      <c r="H60" s="32"/>
      <c r="I60" s="35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6"/>
      <c r="V60" s="36"/>
    </row>
    <row r="61" spans="1:23" x14ac:dyDescent="0.25">
      <c r="A61" s="80" t="s">
        <v>61</v>
      </c>
      <c r="B61" s="5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6"/>
      <c r="V61" s="36"/>
    </row>
    <row r="62" spans="1:23" x14ac:dyDescent="0.25">
      <c r="A62" s="80"/>
      <c r="B62" s="5"/>
      <c r="C62" s="32"/>
      <c r="D62" s="32"/>
      <c r="E62" s="32"/>
      <c r="F62" s="32"/>
      <c r="G62" s="32"/>
      <c r="H62" s="32"/>
      <c r="I62" s="35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6"/>
      <c r="V62" s="36"/>
    </row>
    <row r="63" spans="1:23" x14ac:dyDescent="0.25">
      <c r="A63" s="80" t="s">
        <v>75</v>
      </c>
      <c r="B63" s="5"/>
      <c r="C63" s="32"/>
      <c r="D63" s="32"/>
      <c r="E63" s="32"/>
      <c r="F63" s="32"/>
      <c r="G63" s="32"/>
      <c r="H63" s="32"/>
      <c r="I63" s="35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6"/>
      <c r="V63" s="36"/>
    </row>
    <row r="64" spans="1:23" x14ac:dyDescent="0.25">
      <c r="A64" s="81"/>
      <c r="B64" s="82"/>
      <c r="C64" s="83"/>
      <c r="D64" s="83"/>
      <c r="E64" s="83"/>
      <c r="F64" s="83"/>
      <c r="G64" s="83"/>
      <c r="H64" s="83"/>
      <c r="I64" s="84"/>
      <c r="J64" s="83"/>
      <c r="K64" s="83"/>
      <c r="L64" s="83"/>
      <c r="M64" s="83"/>
      <c r="N64" s="83"/>
      <c r="O64" s="83"/>
    </row>
    <row r="65" spans="1:1" x14ac:dyDescent="0.25">
      <c r="A65" s="100" t="s">
        <v>71</v>
      </c>
    </row>
  </sheetData>
  <mergeCells count="12">
    <mergeCell ref="L34:V34"/>
    <mergeCell ref="A1:V1"/>
    <mergeCell ref="A2:V2"/>
    <mergeCell ref="A3:V3"/>
    <mergeCell ref="A4:V4"/>
    <mergeCell ref="A5:V5"/>
    <mergeCell ref="A8:V8"/>
    <mergeCell ref="C10:I10"/>
    <mergeCell ref="L10:O10"/>
    <mergeCell ref="Q10:R10"/>
    <mergeCell ref="A30:V30"/>
    <mergeCell ref="H32:T32"/>
  </mergeCells>
  <hyperlinks>
    <hyperlink ref="A4" r:id="rId1" xr:uid="{2DCC6111-DAAE-4B76-89EA-831BC070A2B6}"/>
  </hyperlinks>
  <printOptions horizontalCentered="1" verticalCentered="1"/>
  <pageMargins left="0" right="0" top="0.25" bottom="0.25" header="0.3" footer="0.3"/>
  <pageSetup scale="54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5"/>
  <sheetViews>
    <sheetView topLeftCell="A19" zoomScale="90" zoomScaleNormal="90" workbookViewId="0">
      <selection activeCell="D37" sqref="D37:D38"/>
    </sheetView>
  </sheetViews>
  <sheetFormatPr defaultRowHeight="15" x14ac:dyDescent="0.25"/>
  <cols>
    <col min="1" max="1" width="9.28515625" style="86" customWidth="1"/>
    <col min="2" max="2" width="1.7109375" style="86" customWidth="1"/>
    <col min="3" max="3" width="15.5703125" style="85" bestFit="1" customWidth="1"/>
    <col min="4" max="4" width="13.5703125" style="85" customWidth="1"/>
    <col min="5" max="5" width="15.5703125" style="85" bestFit="1" customWidth="1"/>
    <col min="6" max="6" width="16.28515625" style="85" bestFit="1" customWidth="1"/>
    <col min="7" max="7" width="1.85546875" style="85" customWidth="1"/>
    <col min="8" max="8" width="15" style="85" customWidth="1"/>
    <col min="9" max="9" width="11.7109375" style="67" customWidth="1"/>
    <col min="10" max="10" width="12.140625" style="85" bestFit="1" customWidth="1"/>
    <col min="11" max="11" width="1.140625" style="85" customWidth="1"/>
    <col min="12" max="12" width="11.7109375" style="85" customWidth="1"/>
    <col min="13" max="13" width="17.7109375" style="85" customWidth="1"/>
    <col min="14" max="14" width="11.5703125" style="85" customWidth="1"/>
    <col min="15" max="15" width="12.42578125" style="85" customWidth="1"/>
    <col min="16" max="16" width="3.42578125" style="85" customWidth="1"/>
    <col min="17" max="17" width="15" style="85" customWidth="1"/>
    <col min="18" max="18" width="12.140625" style="85" customWidth="1"/>
    <col min="19" max="19" width="3.42578125" style="85" customWidth="1"/>
    <col min="20" max="20" width="16" style="85" bestFit="1" customWidth="1"/>
    <col min="21" max="21" width="3.42578125" style="1" customWidth="1"/>
    <col min="22" max="22" width="14.42578125" style="1" customWidth="1"/>
    <col min="23" max="23" width="15" style="1" customWidth="1"/>
    <col min="24" max="259" width="8.85546875" style="1"/>
    <col min="260" max="260" width="9.28515625" style="1" customWidth="1"/>
    <col min="261" max="261" width="1.7109375" style="1" customWidth="1"/>
    <col min="262" max="265" width="12" style="1" customWidth="1"/>
    <col min="266" max="266" width="11.85546875" style="1" customWidth="1"/>
    <col min="267" max="267" width="10.7109375" style="1" customWidth="1"/>
    <col min="268" max="268" width="10.5703125" style="1" customWidth="1"/>
    <col min="269" max="269" width="1.140625" style="1" customWidth="1"/>
    <col min="270" max="270" width="11.28515625" style="1" customWidth="1"/>
    <col min="271" max="271" width="12.7109375" style="1" customWidth="1"/>
    <col min="272" max="272" width="11.5703125" style="1" customWidth="1"/>
    <col min="273" max="273" width="12.42578125" style="1" customWidth="1"/>
    <col min="274" max="274" width="1.5703125" style="1" customWidth="1"/>
    <col min="275" max="275" width="11.42578125" style="1" customWidth="1"/>
    <col min="276" max="276" width="12.140625" style="1" customWidth="1"/>
    <col min="277" max="277" width="1.7109375" style="1" customWidth="1"/>
    <col min="278" max="278" width="13.5703125" style="1" customWidth="1"/>
    <col min="279" max="515" width="8.85546875" style="1"/>
    <col min="516" max="516" width="9.28515625" style="1" customWidth="1"/>
    <col min="517" max="517" width="1.7109375" style="1" customWidth="1"/>
    <col min="518" max="521" width="12" style="1" customWidth="1"/>
    <col min="522" max="522" width="11.85546875" style="1" customWidth="1"/>
    <col min="523" max="523" width="10.7109375" style="1" customWidth="1"/>
    <col min="524" max="524" width="10.5703125" style="1" customWidth="1"/>
    <col min="525" max="525" width="1.140625" style="1" customWidth="1"/>
    <col min="526" max="526" width="11.28515625" style="1" customWidth="1"/>
    <col min="527" max="527" width="12.7109375" style="1" customWidth="1"/>
    <col min="528" max="528" width="11.5703125" style="1" customWidth="1"/>
    <col min="529" max="529" width="12.42578125" style="1" customWidth="1"/>
    <col min="530" max="530" width="1.5703125" style="1" customWidth="1"/>
    <col min="531" max="531" width="11.42578125" style="1" customWidth="1"/>
    <col min="532" max="532" width="12.140625" style="1" customWidth="1"/>
    <col min="533" max="533" width="1.7109375" style="1" customWidth="1"/>
    <col min="534" max="534" width="13.5703125" style="1" customWidth="1"/>
    <col min="535" max="771" width="8.85546875" style="1"/>
    <col min="772" max="772" width="9.28515625" style="1" customWidth="1"/>
    <col min="773" max="773" width="1.7109375" style="1" customWidth="1"/>
    <col min="774" max="777" width="12" style="1" customWidth="1"/>
    <col min="778" max="778" width="11.85546875" style="1" customWidth="1"/>
    <col min="779" max="779" width="10.7109375" style="1" customWidth="1"/>
    <col min="780" max="780" width="10.5703125" style="1" customWidth="1"/>
    <col min="781" max="781" width="1.140625" style="1" customWidth="1"/>
    <col min="782" max="782" width="11.28515625" style="1" customWidth="1"/>
    <col min="783" max="783" width="12.7109375" style="1" customWidth="1"/>
    <col min="784" max="784" width="11.5703125" style="1" customWidth="1"/>
    <col min="785" max="785" width="12.42578125" style="1" customWidth="1"/>
    <col min="786" max="786" width="1.5703125" style="1" customWidth="1"/>
    <col min="787" max="787" width="11.42578125" style="1" customWidth="1"/>
    <col min="788" max="788" width="12.140625" style="1" customWidth="1"/>
    <col min="789" max="789" width="1.7109375" style="1" customWidth="1"/>
    <col min="790" max="790" width="13.5703125" style="1" customWidth="1"/>
    <col min="791" max="1027" width="8.85546875" style="1"/>
    <col min="1028" max="1028" width="9.28515625" style="1" customWidth="1"/>
    <col min="1029" max="1029" width="1.7109375" style="1" customWidth="1"/>
    <col min="1030" max="1033" width="12" style="1" customWidth="1"/>
    <col min="1034" max="1034" width="11.85546875" style="1" customWidth="1"/>
    <col min="1035" max="1035" width="10.7109375" style="1" customWidth="1"/>
    <col min="1036" max="1036" width="10.5703125" style="1" customWidth="1"/>
    <col min="1037" max="1037" width="1.140625" style="1" customWidth="1"/>
    <col min="1038" max="1038" width="11.28515625" style="1" customWidth="1"/>
    <col min="1039" max="1039" width="12.7109375" style="1" customWidth="1"/>
    <col min="1040" max="1040" width="11.5703125" style="1" customWidth="1"/>
    <col min="1041" max="1041" width="12.42578125" style="1" customWidth="1"/>
    <col min="1042" max="1042" width="1.5703125" style="1" customWidth="1"/>
    <col min="1043" max="1043" width="11.42578125" style="1" customWidth="1"/>
    <col min="1044" max="1044" width="12.140625" style="1" customWidth="1"/>
    <col min="1045" max="1045" width="1.7109375" style="1" customWidth="1"/>
    <col min="1046" max="1046" width="13.5703125" style="1" customWidth="1"/>
    <col min="1047" max="1283" width="8.85546875" style="1"/>
    <col min="1284" max="1284" width="9.28515625" style="1" customWidth="1"/>
    <col min="1285" max="1285" width="1.7109375" style="1" customWidth="1"/>
    <col min="1286" max="1289" width="12" style="1" customWidth="1"/>
    <col min="1290" max="1290" width="11.85546875" style="1" customWidth="1"/>
    <col min="1291" max="1291" width="10.7109375" style="1" customWidth="1"/>
    <col min="1292" max="1292" width="10.5703125" style="1" customWidth="1"/>
    <col min="1293" max="1293" width="1.140625" style="1" customWidth="1"/>
    <col min="1294" max="1294" width="11.28515625" style="1" customWidth="1"/>
    <col min="1295" max="1295" width="12.7109375" style="1" customWidth="1"/>
    <col min="1296" max="1296" width="11.5703125" style="1" customWidth="1"/>
    <col min="1297" max="1297" width="12.42578125" style="1" customWidth="1"/>
    <col min="1298" max="1298" width="1.5703125" style="1" customWidth="1"/>
    <col min="1299" max="1299" width="11.42578125" style="1" customWidth="1"/>
    <col min="1300" max="1300" width="12.140625" style="1" customWidth="1"/>
    <col min="1301" max="1301" width="1.7109375" style="1" customWidth="1"/>
    <col min="1302" max="1302" width="13.5703125" style="1" customWidth="1"/>
    <col min="1303" max="1539" width="8.85546875" style="1"/>
    <col min="1540" max="1540" width="9.28515625" style="1" customWidth="1"/>
    <col min="1541" max="1541" width="1.7109375" style="1" customWidth="1"/>
    <col min="1542" max="1545" width="12" style="1" customWidth="1"/>
    <col min="1546" max="1546" width="11.85546875" style="1" customWidth="1"/>
    <col min="1547" max="1547" width="10.7109375" style="1" customWidth="1"/>
    <col min="1548" max="1548" width="10.5703125" style="1" customWidth="1"/>
    <col min="1549" max="1549" width="1.140625" style="1" customWidth="1"/>
    <col min="1550" max="1550" width="11.28515625" style="1" customWidth="1"/>
    <col min="1551" max="1551" width="12.7109375" style="1" customWidth="1"/>
    <col min="1552" max="1552" width="11.5703125" style="1" customWidth="1"/>
    <col min="1553" max="1553" width="12.42578125" style="1" customWidth="1"/>
    <col min="1554" max="1554" width="1.5703125" style="1" customWidth="1"/>
    <col min="1555" max="1555" width="11.42578125" style="1" customWidth="1"/>
    <col min="1556" max="1556" width="12.140625" style="1" customWidth="1"/>
    <col min="1557" max="1557" width="1.7109375" style="1" customWidth="1"/>
    <col min="1558" max="1558" width="13.5703125" style="1" customWidth="1"/>
    <col min="1559" max="1795" width="8.85546875" style="1"/>
    <col min="1796" max="1796" width="9.28515625" style="1" customWidth="1"/>
    <col min="1797" max="1797" width="1.7109375" style="1" customWidth="1"/>
    <col min="1798" max="1801" width="12" style="1" customWidth="1"/>
    <col min="1802" max="1802" width="11.85546875" style="1" customWidth="1"/>
    <col min="1803" max="1803" width="10.7109375" style="1" customWidth="1"/>
    <col min="1804" max="1804" width="10.5703125" style="1" customWidth="1"/>
    <col min="1805" max="1805" width="1.140625" style="1" customWidth="1"/>
    <col min="1806" max="1806" width="11.28515625" style="1" customWidth="1"/>
    <col min="1807" max="1807" width="12.7109375" style="1" customWidth="1"/>
    <col min="1808" max="1808" width="11.5703125" style="1" customWidth="1"/>
    <col min="1809" max="1809" width="12.42578125" style="1" customWidth="1"/>
    <col min="1810" max="1810" width="1.5703125" style="1" customWidth="1"/>
    <col min="1811" max="1811" width="11.42578125" style="1" customWidth="1"/>
    <col min="1812" max="1812" width="12.140625" style="1" customWidth="1"/>
    <col min="1813" max="1813" width="1.7109375" style="1" customWidth="1"/>
    <col min="1814" max="1814" width="13.5703125" style="1" customWidth="1"/>
    <col min="1815" max="2051" width="8.85546875" style="1"/>
    <col min="2052" max="2052" width="9.28515625" style="1" customWidth="1"/>
    <col min="2053" max="2053" width="1.7109375" style="1" customWidth="1"/>
    <col min="2054" max="2057" width="12" style="1" customWidth="1"/>
    <col min="2058" max="2058" width="11.85546875" style="1" customWidth="1"/>
    <col min="2059" max="2059" width="10.7109375" style="1" customWidth="1"/>
    <col min="2060" max="2060" width="10.5703125" style="1" customWidth="1"/>
    <col min="2061" max="2061" width="1.140625" style="1" customWidth="1"/>
    <col min="2062" max="2062" width="11.28515625" style="1" customWidth="1"/>
    <col min="2063" max="2063" width="12.7109375" style="1" customWidth="1"/>
    <col min="2064" max="2064" width="11.5703125" style="1" customWidth="1"/>
    <col min="2065" max="2065" width="12.42578125" style="1" customWidth="1"/>
    <col min="2066" max="2066" width="1.5703125" style="1" customWidth="1"/>
    <col min="2067" max="2067" width="11.42578125" style="1" customWidth="1"/>
    <col min="2068" max="2068" width="12.140625" style="1" customWidth="1"/>
    <col min="2069" max="2069" width="1.7109375" style="1" customWidth="1"/>
    <col min="2070" max="2070" width="13.5703125" style="1" customWidth="1"/>
    <col min="2071" max="2307" width="8.85546875" style="1"/>
    <col min="2308" max="2308" width="9.28515625" style="1" customWidth="1"/>
    <col min="2309" max="2309" width="1.7109375" style="1" customWidth="1"/>
    <col min="2310" max="2313" width="12" style="1" customWidth="1"/>
    <col min="2314" max="2314" width="11.85546875" style="1" customWidth="1"/>
    <col min="2315" max="2315" width="10.7109375" style="1" customWidth="1"/>
    <col min="2316" max="2316" width="10.5703125" style="1" customWidth="1"/>
    <col min="2317" max="2317" width="1.140625" style="1" customWidth="1"/>
    <col min="2318" max="2318" width="11.28515625" style="1" customWidth="1"/>
    <col min="2319" max="2319" width="12.7109375" style="1" customWidth="1"/>
    <col min="2320" max="2320" width="11.5703125" style="1" customWidth="1"/>
    <col min="2321" max="2321" width="12.42578125" style="1" customWidth="1"/>
    <col min="2322" max="2322" width="1.5703125" style="1" customWidth="1"/>
    <col min="2323" max="2323" width="11.42578125" style="1" customWidth="1"/>
    <col min="2324" max="2324" width="12.140625" style="1" customWidth="1"/>
    <col min="2325" max="2325" width="1.7109375" style="1" customWidth="1"/>
    <col min="2326" max="2326" width="13.5703125" style="1" customWidth="1"/>
    <col min="2327" max="2563" width="8.85546875" style="1"/>
    <col min="2564" max="2564" width="9.28515625" style="1" customWidth="1"/>
    <col min="2565" max="2565" width="1.7109375" style="1" customWidth="1"/>
    <col min="2566" max="2569" width="12" style="1" customWidth="1"/>
    <col min="2570" max="2570" width="11.85546875" style="1" customWidth="1"/>
    <col min="2571" max="2571" width="10.7109375" style="1" customWidth="1"/>
    <col min="2572" max="2572" width="10.5703125" style="1" customWidth="1"/>
    <col min="2573" max="2573" width="1.140625" style="1" customWidth="1"/>
    <col min="2574" max="2574" width="11.28515625" style="1" customWidth="1"/>
    <col min="2575" max="2575" width="12.7109375" style="1" customWidth="1"/>
    <col min="2576" max="2576" width="11.5703125" style="1" customWidth="1"/>
    <col min="2577" max="2577" width="12.42578125" style="1" customWidth="1"/>
    <col min="2578" max="2578" width="1.5703125" style="1" customWidth="1"/>
    <col min="2579" max="2579" width="11.42578125" style="1" customWidth="1"/>
    <col min="2580" max="2580" width="12.140625" style="1" customWidth="1"/>
    <col min="2581" max="2581" width="1.7109375" style="1" customWidth="1"/>
    <col min="2582" max="2582" width="13.5703125" style="1" customWidth="1"/>
    <col min="2583" max="2819" width="8.85546875" style="1"/>
    <col min="2820" max="2820" width="9.28515625" style="1" customWidth="1"/>
    <col min="2821" max="2821" width="1.7109375" style="1" customWidth="1"/>
    <col min="2822" max="2825" width="12" style="1" customWidth="1"/>
    <col min="2826" max="2826" width="11.85546875" style="1" customWidth="1"/>
    <col min="2827" max="2827" width="10.7109375" style="1" customWidth="1"/>
    <col min="2828" max="2828" width="10.5703125" style="1" customWidth="1"/>
    <col min="2829" max="2829" width="1.140625" style="1" customWidth="1"/>
    <col min="2830" max="2830" width="11.28515625" style="1" customWidth="1"/>
    <col min="2831" max="2831" width="12.7109375" style="1" customWidth="1"/>
    <col min="2832" max="2832" width="11.5703125" style="1" customWidth="1"/>
    <col min="2833" max="2833" width="12.42578125" style="1" customWidth="1"/>
    <col min="2834" max="2834" width="1.5703125" style="1" customWidth="1"/>
    <col min="2835" max="2835" width="11.42578125" style="1" customWidth="1"/>
    <col min="2836" max="2836" width="12.140625" style="1" customWidth="1"/>
    <col min="2837" max="2837" width="1.7109375" style="1" customWidth="1"/>
    <col min="2838" max="2838" width="13.5703125" style="1" customWidth="1"/>
    <col min="2839" max="3075" width="8.85546875" style="1"/>
    <col min="3076" max="3076" width="9.28515625" style="1" customWidth="1"/>
    <col min="3077" max="3077" width="1.7109375" style="1" customWidth="1"/>
    <col min="3078" max="3081" width="12" style="1" customWidth="1"/>
    <col min="3082" max="3082" width="11.85546875" style="1" customWidth="1"/>
    <col min="3083" max="3083" width="10.7109375" style="1" customWidth="1"/>
    <col min="3084" max="3084" width="10.5703125" style="1" customWidth="1"/>
    <col min="3085" max="3085" width="1.140625" style="1" customWidth="1"/>
    <col min="3086" max="3086" width="11.28515625" style="1" customWidth="1"/>
    <col min="3087" max="3087" width="12.7109375" style="1" customWidth="1"/>
    <col min="3088" max="3088" width="11.5703125" style="1" customWidth="1"/>
    <col min="3089" max="3089" width="12.42578125" style="1" customWidth="1"/>
    <col min="3090" max="3090" width="1.5703125" style="1" customWidth="1"/>
    <col min="3091" max="3091" width="11.42578125" style="1" customWidth="1"/>
    <col min="3092" max="3092" width="12.140625" style="1" customWidth="1"/>
    <col min="3093" max="3093" width="1.7109375" style="1" customWidth="1"/>
    <col min="3094" max="3094" width="13.5703125" style="1" customWidth="1"/>
    <col min="3095" max="3331" width="8.85546875" style="1"/>
    <col min="3332" max="3332" width="9.28515625" style="1" customWidth="1"/>
    <col min="3333" max="3333" width="1.7109375" style="1" customWidth="1"/>
    <col min="3334" max="3337" width="12" style="1" customWidth="1"/>
    <col min="3338" max="3338" width="11.85546875" style="1" customWidth="1"/>
    <col min="3339" max="3339" width="10.7109375" style="1" customWidth="1"/>
    <col min="3340" max="3340" width="10.5703125" style="1" customWidth="1"/>
    <col min="3341" max="3341" width="1.140625" style="1" customWidth="1"/>
    <col min="3342" max="3342" width="11.28515625" style="1" customWidth="1"/>
    <col min="3343" max="3343" width="12.7109375" style="1" customWidth="1"/>
    <col min="3344" max="3344" width="11.5703125" style="1" customWidth="1"/>
    <col min="3345" max="3345" width="12.42578125" style="1" customWidth="1"/>
    <col min="3346" max="3346" width="1.5703125" style="1" customWidth="1"/>
    <col min="3347" max="3347" width="11.42578125" style="1" customWidth="1"/>
    <col min="3348" max="3348" width="12.140625" style="1" customWidth="1"/>
    <col min="3349" max="3349" width="1.7109375" style="1" customWidth="1"/>
    <col min="3350" max="3350" width="13.5703125" style="1" customWidth="1"/>
    <col min="3351" max="3587" width="8.85546875" style="1"/>
    <col min="3588" max="3588" width="9.28515625" style="1" customWidth="1"/>
    <col min="3589" max="3589" width="1.7109375" style="1" customWidth="1"/>
    <col min="3590" max="3593" width="12" style="1" customWidth="1"/>
    <col min="3594" max="3594" width="11.85546875" style="1" customWidth="1"/>
    <col min="3595" max="3595" width="10.7109375" style="1" customWidth="1"/>
    <col min="3596" max="3596" width="10.5703125" style="1" customWidth="1"/>
    <col min="3597" max="3597" width="1.140625" style="1" customWidth="1"/>
    <col min="3598" max="3598" width="11.28515625" style="1" customWidth="1"/>
    <col min="3599" max="3599" width="12.7109375" style="1" customWidth="1"/>
    <col min="3600" max="3600" width="11.5703125" style="1" customWidth="1"/>
    <col min="3601" max="3601" width="12.42578125" style="1" customWidth="1"/>
    <col min="3602" max="3602" width="1.5703125" style="1" customWidth="1"/>
    <col min="3603" max="3603" width="11.42578125" style="1" customWidth="1"/>
    <col min="3604" max="3604" width="12.140625" style="1" customWidth="1"/>
    <col min="3605" max="3605" width="1.7109375" style="1" customWidth="1"/>
    <col min="3606" max="3606" width="13.5703125" style="1" customWidth="1"/>
    <col min="3607" max="3843" width="8.85546875" style="1"/>
    <col min="3844" max="3844" width="9.28515625" style="1" customWidth="1"/>
    <col min="3845" max="3845" width="1.7109375" style="1" customWidth="1"/>
    <col min="3846" max="3849" width="12" style="1" customWidth="1"/>
    <col min="3850" max="3850" width="11.85546875" style="1" customWidth="1"/>
    <col min="3851" max="3851" width="10.7109375" style="1" customWidth="1"/>
    <col min="3852" max="3852" width="10.5703125" style="1" customWidth="1"/>
    <col min="3853" max="3853" width="1.140625" style="1" customWidth="1"/>
    <col min="3854" max="3854" width="11.28515625" style="1" customWidth="1"/>
    <col min="3855" max="3855" width="12.7109375" style="1" customWidth="1"/>
    <col min="3856" max="3856" width="11.5703125" style="1" customWidth="1"/>
    <col min="3857" max="3857" width="12.42578125" style="1" customWidth="1"/>
    <col min="3858" max="3858" width="1.5703125" style="1" customWidth="1"/>
    <col min="3859" max="3859" width="11.42578125" style="1" customWidth="1"/>
    <col min="3860" max="3860" width="12.140625" style="1" customWidth="1"/>
    <col min="3861" max="3861" width="1.7109375" style="1" customWidth="1"/>
    <col min="3862" max="3862" width="13.5703125" style="1" customWidth="1"/>
    <col min="3863" max="4099" width="8.85546875" style="1"/>
    <col min="4100" max="4100" width="9.28515625" style="1" customWidth="1"/>
    <col min="4101" max="4101" width="1.7109375" style="1" customWidth="1"/>
    <col min="4102" max="4105" width="12" style="1" customWidth="1"/>
    <col min="4106" max="4106" width="11.85546875" style="1" customWidth="1"/>
    <col min="4107" max="4107" width="10.7109375" style="1" customWidth="1"/>
    <col min="4108" max="4108" width="10.5703125" style="1" customWidth="1"/>
    <col min="4109" max="4109" width="1.140625" style="1" customWidth="1"/>
    <col min="4110" max="4110" width="11.28515625" style="1" customWidth="1"/>
    <col min="4111" max="4111" width="12.7109375" style="1" customWidth="1"/>
    <col min="4112" max="4112" width="11.5703125" style="1" customWidth="1"/>
    <col min="4113" max="4113" width="12.42578125" style="1" customWidth="1"/>
    <col min="4114" max="4114" width="1.5703125" style="1" customWidth="1"/>
    <col min="4115" max="4115" width="11.42578125" style="1" customWidth="1"/>
    <col min="4116" max="4116" width="12.140625" style="1" customWidth="1"/>
    <col min="4117" max="4117" width="1.7109375" style="1" customWidth="1"/>
    <col min="4118" max="4118" width="13.5703125" style="1" customWidth="1"/>
    <col min="4119" max="4355" width="8.85546875" style="1"/>
    <col min="4356" max="4356" width="9.28515625" style="1" customWidth="1"/>
    <col min="4357" max="4357" width="1.7109375" style="1" customWidth="1"/>
    <col min="4358" max="4361" width="12" style="1" customWidth="1"/>
    <col min="4362" max="4362" width="11.85546875" style="1" customWidth="1"/>
    <col min="4363" max="4363" width="10.7109375" style="1" customWidth="1"/>
    <col min="4364" max="4364" width="10.5703125" style="1" customWidth="1"/>
    <col min="4365" max="4365" width="1.140625" style="1" customWidth="1"/>
    <col min="4366" max="4366" width="11.28515625" style="1" customWidth="1"/>
    <col min="4367" max="4367" width="12.7109375" style="1" customWidth="1"/>
    <col min="4368" max="4368" width="11.5703125" style="1" customWidth="1"/>
    <col min="4369" max="4369" width="12.42578125" style="1" customWidth="1"/>
    <col min="4370" max="4370" width="1.5703125" style="1" customWidth="1"/>
    <col min="4371" max="4371" width="11.42578125" style="1" customWidth="1"/>
    <col min="4372" max="4372" width="12.140625" style="1" customWidth="1"/>
    <col min="4373" max="4373" width="1.7109375" style="1" customWidth="1"/>
    <col min="4374" max="4374" width="13.5703125" style="1" customWidth="1"/>
    <col min="4375" max="4611" width="8.85546875" style="1"/>
    <col min="4612" max="4612" width="9.28515625" style="1" customWidth="1"/>
    <col min="4613" max="4613" width="1.7109375" style="1" customWidth="1"/>
    <col min="4614" max="4617" width="12" style="1" customWidth="1"/>
    <col min="4618" max="4618" width="11.85546875" style="1" customWidth="1"/>
    <col min="4619" max="4619" width="10.7109375" style="1" customWidth="1"/>
    <col min="4620" max="4620" width="10.5703125" style="1" customWidth="1"/>
    <col min="4621" max="4621" width="1.140625" style="1" customWidth="1"/>
    <col min="4622" max="4622" width="11.28515625" style="1" customWidth="1"/>
    <col min="4623" max="4623" width="12.7109375" style="1" customWidth="1"/>
    <col min="4624" max="4624" width="11.5703125" style="1" customWidth="1"/>
    <col min="4625" max="4625" width="12.42578125" style="1" customWidth="1"/>
    <col min="4626" max="4626" width="1.5703125" style="1" customWidth="1"/>
    <col min="4627" max="4627" width="11.42578125" style="1" customWidth="1"/>
    <col min="4628" max="4628" width="12.140625" style="1" customWidth="1"/>
    <col min="4629" max="4629" width="1.7109375" style="1" customWidth="1"/>
    <col min="4630" max="4630" width="13.5703125" style="1" customWidth="1"/>
    <col min="4631" max="4867" width="8.85546875" style="1"/>
    <col min="4868" max="4868" width="9.28515625" style="1" customWidth="1"/>
    <col min="4869" max="4869" width="1.7109375" style="1" customWidth="1"/>
    <col min="4870" max="4873" width="12" style="1" customWidth="1"/>
    <col min="4874" max="4874" width="11.85546875" style="1" customWidth="1"/>
    <col min="4875" max="4875" width="10.7109375" style="1" customWidth="1"/>
    <col min="4876" max="4876" width="10.5703125" style="1" customWidth="1"/>
    <col min="4877" max="4877" width="1.140625" style="1" customWidth="1"/>
    <col min="4878" max="4878" width="11.28515625" style="1" customWidth="1"/>
    <col min="4879" max="4879" width="12.7109375" style="1" customWidth="1"/>
    <col min="4880" max="4880" width="11.5703125" style="1" customWidth="1"/>
    <col min="4881" max="4881" width="12.42578125" style="1" customWidth="1"/>
    <col min="4882" max="4882" width="1.5703125" style="1" customWidth="1"/>
    <col min="4883" max="4883" width="11.42578125" style="1" customWidth="1"/>
    <col min="4884" max="4884" width="12.140625" style="1" customWidth="1"/>
    <col min="4885" max="4885" width="1.7109375" style="1" customWidth="1"/>
    <col min="4886" max="4886" width="13.5703125" style="1" customWidth="1"/>
    <col min="4887" max="5123" width="8.85546875" style="1"/>
    <col min="5124" max="5124" width="9.28515625" style="1" customWidth="1"/>
    <col min="5125" max="5125" width="1.7109375" style="1" customWidth="1"/>
    <col min="5126" max="5129" width="12" style="1" customWidth="1"/>
    <col min="5130" max="5130" width="11.85546875" style="1" customWidth="1"/>
    <col min="5131" max="5131" width="10.7109375" style="1" customWidth="1"/>
    <col min="5132" max="5132" width="10.5703125" style="1" customWidth="1"/>
    <col min="5133" max="5133" width="1.140625" style="1" customWidth="1"/>
    <col min="5134" max="5134" width="11.28515625" style="1" customWidth="1"/>
    <col min="5135" max="5135" width="12.7109375" style="1" customWidth="1"/>
    <col min="5136" max="5136" width="11.5703125" style="1" customWidth="1"/>
    <col min="5137" max="5137" width="12.42578125" style="1" customWidth="1"/>
    <col min="5138" max="5138" width="1.5703125" style="1" customWidth="1"/>
    <col min="5139" max="5139" width="11.42578125" style="1" customWidth="1"/>
    <col min="5140" max="5140" width="12.140625" style="1" customWidth="1"/>
    <col min="5141" max="5141" width="1.7109375" style="1" customWidth="1"/>
    <col min="5142" max="5142" width="13.5703125" style="1" customWidth="1"/>
    <col min="5143" max="5379" width="8.85546875" style="1"/>
    <col min="5380" max="5380" width="9.28515625" style="1" customWidth="1"/>
    <col min="5381" max="5381" width="1.7109375" style="1" customWidth="1"/>
    <col min="5382" max="5385" width="12" style="1" customWidth="1"/>
    <col min="5386" max="5386" width="11.85546875" style="1" customWidth="1"/>
    <col min="5387" max="5387" width="10.7109375" style="1" customWidth="1"/>
    <col min="5388" max="5388" width="10.5703125" style="1" customWidth="1"/>
    <col min="5389" max="5389" width="1.140625" style="1" customWidth="1"/>
    <col min="5390" max="5390" width="11.28515625" style="1" customWidth="1"/>
    <col min="5391" max="5391" width="12.7109375" style="1" customWidth="1"/>
    <col min="5392" max="5392" width="11.5703125" style="1" customWidth="1"/>
    <col min="5393" max="5393" width="12.42578125" style="1" customWidth="1"/>
    <col min="5394" max="5394" width="1.5703125" style="1" customWidth="1"/>
    <col min="5395" max="5395" width="11.42578125" style="1" customWidth="1"/>
    <col min="5396" max="5396" width="12.140625" style="1" customWidth="1"/>
    <col min="5397" max="5397" width="1.7109375" style="1" customWidth="1"/>
    <col min="5398" max="5398" width="13.5703125" style="1" customWidth="1"/>
    <col min="5399" max="5635" width="8.85546875" style="1"/>
    <col min="5636" max="5636" width="9.28515625" style="1" customWidth="1"/>
    <col min="5637" max="5637" width="1.7109375" style="1" customWidth="1"/>
    <col min="5638" max="5641" width="12" style="1" customWidth="1"/>
    <col min="5642" max="5642" width="11.85546875" style="1" customWidth="1"/>
    <col min="5643" max="5643" width="10.7109375" style="1" customWidth="1"/>
    <col min="5644" max="5644" width="10.5703125" style="1" customWidth="1"/>
    <col min="5645" max="5645" width="1.140625" style="1" customWidth="1"/>
    <col min="5646" max="5646" width="11.28515625" style="1" customWidth="1"/>
    <col min="5647" max="5647" width="12.7109375" style="1" customWidth="1"/>
    <col min="5648" max="5648" width="11.5703125" style="1" customWidth="1"/>
    <col min="5649" max="5649" width="12.42578125" style="1" customWidth="1"/>
    <col min="5650" max="5650" width="1.5703125" style="1" customWidth="1"/>
    <col min="5651" max="5651" width="11.42578125" style="1" customWidth="1"/>
    <col min="5652" max="5652" width="12.140625" style="1" customWidth="1"/>
    <col min="5653" max="5653" width="1.7109375" style="1" customWidth="1"/>
    <col min="5654" max="5654" width="13.5703125" style="1" customWidth="1"/>
    <col min="5655" max="5891" width="8.85546875" style="1"/>
    <col min="5892" max="5892" width="9.28515625" style="1" customWidth="1"/>
    <col min="5893" max="5893" width="1.7109375" style="1" customWidth="1"/>
    <col min="5894" max="5897" width="12" style="1" customWidth="1"/>
    <col min="5898" max="5898" width="11.85546875" style="1" customWidth="1"/>
    <col min="5899" max="5899" width="10.7109375" style="1" customWidth="1"/>
    <col min="5900" max="5900" width="10.5703125" style="1" customWidth="1"/>
    <col min="5901" max="5901" width="1.140625" style="1" customWidth="1"/>
    <col min="5902" max="5902" width="11.28515625" style="1" customWidth="1"/>
    <col min="5903" max="5903" width="12.7109375" style="1" customWidth="1"/>
    <col min="5904" max="5904" width="11.5703125" style="1" customWidth="1"/>
    <col min="5905" max="5905" width="12.42578125" style="1" customWidth="1"/>
    <col min="5906" max="5906" width="1.5703125" style="1" customWidth="1"/>
    <col min="5907" max="5907" width="11.42578125" style="1" customWidth="1"/>
    <col min="5908" max="5908" width="12.140625" style="1" customWidth="1"/>
    <col min="5909" max="5909" width="1.7109375" style="1" customWidth="1"/>
    <col min="5910" max="5910" width="13.5703125" style="1" customWidth="1"/>
    <col min="5911" max="6147" width="8.85546875" style="1"/>
    <col min="6148" max="6148" width="9.28515625" style="1" customWidth="1"/>
    <col min="6149" max="6149" width="1.7109375" style="1" customWidth="1"/>
    <col min="6150" max="6153" width="12" style="1" customWidth="1"/>
    <col min="6154" max="6154" width="11.85546875" style="1" customWidth="1"/>
    <col min="6155" max="6155" width="10.7109375" style="1" customWidth="1"/>
    <col min="6156" max="6156" width="10.5703125" style="1" customWidth="1"/>
    <col min="6157" max="6157" width="1.140625" style="1" customWidth="1"/>
    <col min="6158" max="6158" width="11.28515625" style="1" customWidth="1"/>
    <col min="6159" max="6159" width="12.7109375" style="1" customWidth="1"/>
    <col min="6160" max="6160" width="11.5703125" style="1" customWidth="1"/>
    <col min="6161" max="6161" width="12.42578125" style="1" customWidth="1"/>
    <col min="6162" max="6162" width="1.5703125" style="1" customWidth="1"/>
    <col min="6163" max="6163" width="11.42578125" style="1" customWidth="1"/>
    <col min="6164" max="6164" width="12.140625" style="1" customWidth="1"/>
    <col min="6165" max="6165" width="1.7109375" style="1" customWidth="1"/>
    <col min="6166" max="6166" width="13.5703125" style="1" customWidth="1"/>
    <col min="6167" max="6403" width="8.85546875" style="1"/>
    <col min="6404" max="6404" width="9.28515625" style="1" customWidth="1"/>
    <col min="6405" max="6405" width="1.7109375" style="1" customWidth="1"/>
    <col min="6406" max="6409" width="12" style="1" customWidth="1"/>
    <col min="6410" max="6410" width="11.85546875" style="1" customWidth="1"/>
    <col min="6411" max="6411" width="10.7109375" style="1" customWidth="1"/>
    <col min="6412" max="6412" width="10.5703125" style="1" customWidth="1"/>
    <col min="6413" max="6413" width="1.140625" style="1" customWidth="1"/>
    <col min="6414" max="6414" width="11.28515625" style="1" customWidth="1"/>
    <col min="6415" max="6415" width="12.7109375" style="1" customWidth="1"/>
    <col min="6416" max="6416" width="11.5703125" style="1" customWidth="1"/>
    <col min="6417" max="6417" width="12.42578125" style="1" customWidth="1"/>
    <col min="6418" max="6418" width="1.5703125" style="1" customWidth="1"/>
    <col min="6419" max="6419" width="11.42578125" style="1" customWidth="1"/>
    <col min="6420" max="6420" width="12.140625" style="1" customWidth="1"/>
    <col min="6421" max="6421" width="1.7109375" style="1" customWidth="1"/>
    <col min="6422" max="6422" width="13.5703125" style="1" customWidth="1"/>
    <col min="6423" max="6659" width="8.85546875" style="1"/>
    <col min="6660" max="6660" width="9.28515625" style="1" customWidth="1"/>
    <col min="6661" max="6661" width="1.7109375" style="1" customWidth="1"/>
    <col min="6662" max="6665" width="12" style="1" customWidth="1"/>
    <col min="6666" max="6666" width="11.85546875" style="1" customWidth="1"/>
    <col min="6667" max="6667" width="10.7109375" style="1" customWidth="1"/>
    <col min="6668" max="6668" width="10.5703125" style="1" customWidth="1"/>
    <col min="6669" max="6669" width="1.140625" style="1" customWidth="1"/>
    <col min="6670" max="6670" width="11.28515625" style="1" customWidth="1"/>
    <col min="6671" max="6671" width="12.7109375" style="1" customWidth="1"/>
    <col min="6672" max="6672" width="11.5703125" style="1" customWidth="1"/>
    <col min="6673" max="6673" width="12.42578125" style="1" customWidth="1"/>
    <col min="6674" max="6674" width="1.5703125" style="1" customWidth="1"/>
    <col min="6675" max="6675" width="11.42578125" style="1" customWidth="1"/>
    <col min="6676" max="6676" width="12.140625" style="1" customWidth="1"/>
    <col min="6677" max="6677" width="1.7109375" style="1" customWidth="1"/>
    <col min="6678" max="6678" width="13.5703125" style="1" customWidth="1"/>
    <col min="6679" max="6915" width="8.85546875" style="1"/>
    <col min="6916" max="6916" width="9.28515625" style="1" customWidth="1"/>
    <col min="6917" max="6917" width="1.7109375" style="1" customWidth="1"/>
    <col min="6918" max="6921" width="12" style="1" customWidth="1"/>
    <col min="6922" max="6922" width="11.85546875" style="1" customWidth="1"/>
    <col min="6923" max="6923" width="10.7109375" style="1" customWidth="1"/>
    <col min="6924" max="6924" width="10.5703125" style="1" customWidth="1"/>
    <col min="6925" max="6925" width="1.140625" style="1" customWidth="1"/>
    <col min="6926" max="6926" width="11.28515625" style="1" customWidth="1"/>
    <col min="6927" max="6927" width="12.7109375" style="1" customWidth="1"/>
    <col min="6928" max="6928" width="11.5703125" style="1" customWidth="1"/>
    <col min="6929" max="6929" width="12.42578125" style="1" customWidth="1"/>
    <col min="6930" max="6930" width="1.5703125" style="1" customWidth="1"/>
    <col min="6931" max="6931" width="11.42578125" style="1" customWidth="1"/>
    <col min="6932" max="6932" width="12.140625" style="1" customWidth="1"/>
    <col min="6933" max="6933" width="1.7109375" style="1" customWidth="1"/>
    <col min="6934" max="6934" width="13.5703125" style="1" customWidth="1"/>
    <col min="6935" max="7171" width="8.85546875" style="1"/>
    <col min="7172" max="7172" width="9.28515625" style="1" customWidth="1"/>
    <col min="7173" max="7173" width="1.7109375" style="1" customWidth="1"/>
    <col min="7174" max="7177" width="12" style="1" customWidth="1"/>
    <col min="7178" max="7178" width="11.85546875" style="1" customWidth="1"/>
    <col min="7179" max="7179" width="10.7109375" style="1" customWidth="1"/>
    <col min="7180" max="7180" width="10.5703125" style="1" customWidth="1"/>
    <col min="7181" max="7181" width="1.140625" style="1" customWidth="1"/>
    <col min="7182" max="7182" width="11.28515625" style="1" customWidth="1"/>
    <col min="7183" max="7183" width="12.7109375" style="1" customWidth="1"/>
    <col min="7184" max="7184" width="11.5703125" style="1" customWidth="1"/>
    <col min="7185" max="7185" width="12.42578125" style="1" customWidth="1"/>
    <col min="7186" max="7186" width="1.5703125" style="1" customWidth="1"/>
    <col min="7187" max="7187" width="11.42578125" style="1" customWidth="1"/>
    <col min="7188" max="7188" width="12.140625" style="1" customWidth="1"/>
    <col min="7189" max="7189" width="1.7109375" style="1" customWidth="1"/>
    <col min="7190" max="7190" width="13.5703125" style="1" customWidth="1"/>
    <col min="7191" max="7427" width="8.85546875" style="1"/>
    <col min="7428" max="7428" width="9.28515625" style="1" customWidth="1"/>
    <col min="7429" max="7429" width="1.7109375" style="1" customWidth="1"/>
    <col min="7430" max="7433" width="12" style="1" customWidth="1"/>
    <col min="7434" max="7434" width="11.85546875" style="1" customWidth="1"/>
    <col min="7435" max="7435" width="10.7109375" style="1" customWidth="1"/>
    <col min="7436" max="7436" width="10.5703125" style="1" customWidth="1"/>
    <col min="7437" max="7437" width="1.140625" style="1" customWidth="1"/>
    <col min="7438" max="7438" width="11.28515625" style="1" customWidth="1"/>
    <col min="7439" max="7439" width="12.7109375" style="1" customWidth="1"/>
    <col min="7440" max="7440" width="11.5703125" style="1" customWidth="1"/>
    <col min="7441" max="7441" width="12.42578125" style="1" customWidth="1"/>
    <col min="7442" max="7442" width="1.5703125" style="1" customWidth="1"/>
    <col min="7443" max="7443" width="11.42578125" style="1" customWidth="1"/>
    <col min="7444" max="7444" width="12.140625" style="1" customWidth="1"/>
    <col min="7445" max="7445" width="1.7109375" style="1" customWidth="1"/>
    <col min="7446" max="7446" width="13.5703125" style="1" customWidth="1"/>
    <col min="7447" max="7683" width="8.85546875" style="1"/>
    <col min="7684" max="7684" width="9.28515625" style="1" customWidth="1"/>
    <col min="7685" max="7685" width="1.7109375" style="1" customWidth="1"/>
    <col min="7686" max="7689" width="12" style="1" customWidth="1"/>
    <col min="7690" max="7690" width="11.85546875" style="1" customWidth="1"/>
    <col min="7691" max="7691" width="10.7109375" style="1" customWidth="1"/>
    <col min="7692" max="7692" width="10.5703125" style="1" customWidth="1"/>
    <col min="7693" max="7693" width="1.140625" style="1" customWidth="1"/>
    <col min="7694" max="7694" width="11.28515625" style="1" customWidth="1"/>
    <col min="7695" max="7695" width="12.7109375" style="1" customWidth="1"/>
    <col min="7696" max="7696" width="11.5703125" style="1" customWidth="1"/>
    <col min="7697" max="7697" width="12.42578125" style="1" customWidth="1"/>
    <col min="7698" max="7698" width="1.5703125" style="1" customWidth="1"/>
    <col min="7699" max="7699" width="11.42578125" style="1" customWidth="1"/>
    <col min="7700" max="7700" width="12.140625" style="1" customWidth="1"/>
    <col min="7701" max="7701" width="1.7109375" style="1" customWidth="1"/>
    <col min="7702" max="7702" width="13.5703125" style="1" customWidth="1"/>
    <col min="7703" max="7939" width="8.85546875" style="1"/>
    <col min="7940" max="7940" width="9.28515625" style="1" customWidth="1"/>
    <col min="7941" max="7941" width="1.7109375" style="1" customWidth="1"/>
    <col min="7942" max="7945" width="12" style="1" customWidth="1"/>
    <col min="7946" max="7946" width="11.85546875" style="1" customWidth="1"/>
    <col min="7947" max="7947" width="10.7109375" style="1" customWidth="1"/>
    <col min="7948" max="7948" width="10.5703125" style="1" customWidth="1"/>
    <col min="7949" max="7949" width="1.140625" style="1" customWidth="1"/>
    <col min="7950" max="7950" width="11.28515625" style="1" customWidth="1"/>
    <col min="7951" max="7951" width="12.7109375" style="1" customWidth="1"/>
    <col min="7952" max="7952" width="11.5703125" style="1" customWidth="1"/>
    <col min="7953" max="7953" width="12.42578125" style="1" customWidth="1"/>
    <col min="7954" max="7954" width="1.5703125" style="1" customWidth="1"/>
    <col min="7955" max="7955" width="11.42578125" style="1" customWidth="1"/>
    <col min="7956" max="7956" width="12.140625" style="1" customWidth="1"/>
    <col min="7957" max="7957" width="1.7109375" style="1" customWidth="1"/>
    <col min="7958" max="7958" width="13.5703125" style="1" customWidth="1"/>
    <col min="7959" max="8195" width="8.85546875" style="1"/>
    <col min="8196" max="8196" width="9.28515625" style="1" customWidth="1"/>
    <col min="8197" max="8197" width="1.7109375" style="1" customWidth="1"/>
    <col min="8198" max="8201" width="12" style="1" customWidth="1"/>
    <col min="8202" max="8202" width="11.85546875" style="1" customWidth="1"/>
    <col min="8203" max="8203" width="10.7109375" style="1" customWidth="1"/>
    <col min="8204" max="8204" width="10.5703125" style="1" customWidth="1"/>
    <col min="8205" max="8205" width="1.140625" style="1" customWidth="1"/>
    <col min="8206" max="8206" width="11.28515625" style="1" customWidth="1"/>
    <col min="8207" max="8207" width="12.7109375" style="1" customWidth="1"/>
    <col min="8208" max="8208" width="11.5703125" style="1" customWidth="1"/>
    <col min="8209" max="8209" width="12.42578125" style="1" customWidth="1"/>
    <col min="8210" max="8210" width="1.5703125" style="1" customWidth="1"/>
    <col min="8211" max="8211" width="11.42578125" style="1" customWidth="1"/>
    <col min="8212" max="8212" width="12.140625" style="1" customWidth="1"/>
    <col min="8213" max="8213" width="1.7109375" style="1" customWidth="1"/>
    <col min="8214" max="8214" width="13.5703125" style="1" customWidth="1"/>
    <col min="8215" max="8451" width="8.85546875" style="1"/>
    <col min="8452" max="8452" width="9.28515625" style="1" customWidth="1"/>
    <col min="8453" max="8453" width="1.7109375" style="1" customWidth="1"/>
    <col min="8454" max="8457" width="12" style="1" customWidth="1"/>
    <col min="8458" max="8458" width="11.85546875" style="1" customWidth="1"/>
    <col min="8459" max="8459" width="10.7109375" style="1" customWidth="1"/>
    <col min="8460" max="8460" width="10.5703125" style="1" customWidth="1"/>
    <col min="8461" max="8461" width="1.140625" style="1" customWidth="1"/>
    <col min="8462" max="8462" width="11.28515625" style="1" customWidth="1"/>
    <col min="8463" max="8463" width="12.7109375" style="1" customWidth="1"/>
    <col min="8464" max="8464" width="11.5703125" style="1" customWidth="1"/>
    <col min="8465" max="8465" width="12.42578125" style="1" customWidth="1"/>
    <col min="8466" max="8466" width="1.5703125" style="1" customWidth="1"/>
    <col min="8467" max="8467" width="11.42578125" style="1" customWidth="1"/>
    <col min="8468" max="8468" width="12.140625" style="1" customWidth="1"/>
    <col min="8469" max="8469" width="1.7109375" style="1" customWidth="1"/>
    <col min="8470" max="8470" width="13.5703125" style="1" customWidth="1"/>
    <col min="8471" max="8707" width="8.85546875" style="1"/>
    <col min="8708" max="8708" width="9.28515625" style="1" customWidth="1"/>
    <col min="8709" max="8709" width="1.7109375" style="1" customWidth="1"/>
    <col min="8710" max="8713" width="12" style="1" customWidth="1"/>
    <col min="8714" max="8714" width="11.85546875" style="1" customWidth="1"/>
    <col min="8715" max="8715" width="10.7109375" style="1" customWidth="1"/>
    <col min="8716" max="8716" width="10.5703125" style="1" customWidth="1"/>
    <col min="8717" max="8717" width="1.140625" style="1" customWidth="1"/>
    <col min="8718" max="8718" width="11.28515625" style="1" customWidth="1"/>
    <col min="8719" max="8719" width="12.7109375" style="1" customWidth="1"/>
    <col min="8720" max="8720" width="11.5703125" style="1" customWidth="1"/>
    <col min="8721" max="8721" width="12.42578125" style="1" customWidth="1"/>
    <col min="8722" max="8722" width="1.5703125" style="1" customWidth="1"/>
    <col min="8723" max="8723" width="11.42578125" style="1" customWidth="1"/>
    <col min="8724" max="8724" width="12.140625" style="1" customWidth="1"/>
    <col min="8725" max="8725" width="1.7109375" style="1" customWidth="1"/>
    <col min="8726" max="8726" width="13.5703125" style="1" customWidth="1"/>
    <col min="8727" max="8963" width="8.85546875" style="1"/>
    <col min="8964" max="8964" width="9.28515625" style="1" customWidth="1"/>
    <col min="8965" max="8965" width="1.7109375" style="1" customWidth="1"/>
    <col min="8966" max="8969" width="12" style="1" customWidth="1"/>
    <col min="8970" max="8970" width="11.85546875" style="1" customWidth="1"/>
    <col min="8971" max="8971" width="10.7109375" style="1" customWidth="1"/>
    <col min="8972" max="8972" width="10.5703125" style="1" customWidth="1"/>
    <col min="8973" max="8973" width="1.140625" style="1" customWidth="1"/>
    <col min="8974" max="8974" width="11.28515625" style="1" customWidth="1"/>
    <col min="8975" max="8975" width="12.7109375" style="1" customWidth="1"/>
    <col min="8976" max="8976" width="11.5703125" style="1" customWidth="1"/>
    <col min="8977" max="8977" width="12.42578125" style="1" customWidth="1"/>
    <col min="8978" max="8978" width="1.5703125" style="1" customWidth="1"/>
    <col min="8979" max="8979" width="11.42578125" style="1" customWidth="1"/>
    <col min="8980" max="8980" width="12.140625" style="1" customWidth="1"/>
    <col min="8981" max="8981" width="1.7109375" style="1" customWidth="1"/>
    <col min="8982" max="8982" width="13.5703125" style="1" customWidth="1"/>
    <col min="8983" max="9219" width="8.85546875" style="1"/>
    <col min="9220" max="9220" width="9.28515625" style="1" customWidth="1"/>
    <col min="9221" max="9221" width="1.7109375" style="1" customWidth="1"/>
    <col min="9222" max="9225" width="12" style="1" customWidth="1"/>
    <col min="9226" max="9226" width="11.85546875" style="1" customWidth="1"/>
    <col min="9227" max="9227" width="10.7109375" style="1" customWidth="1"/>
    <col min="9228" max="9228" width="10.5703125" style="1" customWidth="1"/>
    <col min="9229" max="9229" width="1.140625" style="1" customWidth="1"/>
    <col min="9230" max="9230" width="11.28515625" style="1" customWidth="1"/>
    <col min="9231" max="9231" width="12.7109375" style="1" customWidth="1"/>
    <col min="9232" max="9232" width="11.5703125" style="1" customWidth="1"/>
    <col min="9233" max="9233" width="12.42578125" style="1" customWidth="1"/>
    <col min="9234" max="9234" width="1.5703125" style="1" customWidth="1"/>
    <col min="9235" max="9235" width="11.42578125" style="1" customWidth="1"/>
    <col min="9236" max="9236" width="12.140625" style="1" customWidth="1"/>
    <col min="9237" max="9237" width="1.7109375" style="1" customWidth="1"/>
    <col min="9238" max="9238" width="13.5703125" style="1" customWidth="1"/>
    <col min="9239" max="9475" width="8.85546875" style="1"/>
    <col min="9476" max="9476" width="9.28515625" style="1" customWidth="1"/>
    <col min="9477" max="9477" width="1.7109375" style="1" customWidth="1"/>
    <col min="9478" max="9481" width="12" style="1" customWidth="1"/>
    <col min="9482" max="9482" width="11.85546875" style="1" customWidth="1"/>
    <col min="9483" max="9483" width="10.7109375" style="1" customWidth="1"/>
    <col min="9484" max="9484" width="10.5703125" style="1" customWidth="1"/>
    <col min="9485" max="9485" width="1.140625" style="1" customWidth="1"/>
    <col min="9486" max="9486" width="11.28515625" style="1" customWidth="1"/>
    <col min="9487" max="9487" width="12.7109375" style="1" customWidth="1"/>
    <col min="9488" max="9488" width="11.5703125" style="1" customWidth="1"/>
    <col min="9489" max="9489" width="12.42578125" style="1" customWidth="1"/>
    <col min="9490" max="9490" width="1.5703125" style="1" customWidth="1"/>
    <col min="9491" max="9491" width="11.42578125" style="1" customWidth="1"/>
    <col min="9492" max="9492" width="12.140625" style="1" customWidth="1"/>
    <col min="9493" max="9493" width="1.7109375" style="1" customWidth="1"/>
    <col min="9494" max="9494" width="13.5703125" style="1" customWidth="1"/>
    <col min="9495" max="9731" width="8.85546875" style="1"/>
    <col min="9732" max="9732" width="9.28515625" style="1" customWidth="1"/>
    <col min="9733" max="9733" width="1.7109375" style="1" customWidth="1"/>
    <col min="9734" max="9737" width="12" style="1" customWidth="1"/>
    <col min="9738" max="9738" width="11.85546875" style="1" customWidth="1"/>
    <col min="9739" max="9739" width="10.7109375" style="1" customWidth="1"/>
    <col min="9740" max="9740" width="10.5703125" style="1" customWidth="1"/>
    <col min="9741" max="9741" width="1.140625" style="1" customWidth="1"/>
    <col min="9742" max="9742" width="11.28515625" style="1" customWidth="1"/>
    <col min="9743" max="9743" width="12.7109375" style="1" customWidth="1"/>
    <col min="9744" max="9744" width="11.5703125" style="1" customWidth="1"/>
    <col min="9745" max="9745" width="12.42578125" style="1" customWidth="1"/>
    <col min="9746" max="9746" width="1.5703125" style="1" customWidth="1"/>
    <col min="9747" max="9747" width="11.42578125" style="1" customWidth="1"/>
    <col min="9748" max="9748" width="12.140625" style="1" customWidth="1"/>
    <col min="9749" max="9749" width="1.7109375" style="1" customWidth="1"/>
    <col min="9750" max="9750" width="13.5703125" style="1" customWidth="1"/>
    <col min="9751" max="9987" width="8.85546875" style="1"/>
    <col min="9988" max="9988" width="9.28515625" style="1" customWidth="1"/>
    <col min="9989" max="9989" width="1.7109375" style="1" customWidth="1"/>
    <col min="9990" max="9993" width="12" style="1" customWidth="1"/>
    <col min="9994" max="9994" width="11.85546875" style="1" customWidth="1"/>
    <col min="9995" max="9995" width="10.7109375" style="1" customWidth="1"/>
    <col min="9996" max="9996" width="10.5703125" style="1" customWidth="1"/>
    <col min="9997" max="9997" width="1.140625" style="1" customWidth="1"/>
    <col min="9998" max="9998" width="11.28515625" style="1" customWidth="1"/>
    <col min="9999" max="9999" width="12.7109375" style="1" customWidth="1"/>
    <col min="10000" max="10000" width="11.5703125" style="1" customWidth="1"/>
    <col min="10001" max="10001" width="12.42578125" style="1" customWidth="1"/>
    <col min="10002" max="10002" width="1.5703125" style="1" customWidth="1"/>
    <col min="10003" max="10003" width="11.42578125" style="1" customWidth="1"/>
    <col min="10004" max="10004" width="12.140625" style="1" customWidth="1"/>
    <col min="10005" max="10005" width="1.7109375" style="1" customWidth="1"/>
    <col min="10006" max="10006" width="13.5703125" style="1" customWidth="1"/>
    <col min="10007" max="10243" width="8.85546875" style="1"/>
    <col min="10244" max="10244" width="9.28515625" style="1" customWidth="1"/>
    <col min="10245" max="10245" width="1.7109375" style="1" customWidth="1"/>
    <col min="10246" max="10249" width="12" style="1" customWidth="1"/>
    <col min="10250" max="10250" width="11.85546875" style="1" customWidth="1"/>
    <col min="10251" max="10251" width="10.7109375" style="1" customWidth="1"/>
    <col min="10252" max="10252" width="10.5703125" style="1" customWidth="1"/>
    <col min="10253" max="10253" width="1.140625" style="1" customWidth="1"/>
    <col min="10254" max="10254" width="11.28515625" style="1" customWidth="1"/>
    <col min="10255" max="10255" width="12.7109375" style="1" customWidth="1"/>
    <col min="10256" max="10256" width="11.5703125" style="1" customWidth="1"/>
    <col min="10257" max="10257" width="12.42578125" style="1" customWidth="1"/>
    <col min="10258" max="10258" width="1.5703125" style="1" customWidth="1"/>
    <col min="10259" max="10259" width="11.42578125" style="1" customWidth="1"/>
    <col min="10260" max="10260" width="12.140625" style="1" customWidth="1"/>
    <col min="10261" max="10261" width="1.7109375" style="1" customWidth="1"/>
    <col min="10262" max="10262" width="13.5703125" style="1" customWidth="1"/>
    <col min="10263" max="10499" width="8.85546875" style="1"/>
    <col min="10500" max="10500" width="9.28515625" style="1" customWidth="1"/>
    <col min="10501" max="10501" width="1.7109375" style="1" customWidth="1"/>
    <col min="10502" max="10505" width="12" style="1" customWidth="1"/>
    <col min="10506" max="10506" width="11.85546875" style="1" customWidth="1"/>
    <col min="10507" max="10507" width="10.7109375" style="1" customWidth="1"/>
    <col min="10508" max="10508" width="10.5703125" style="1" customWidth="1"/>
    <col min="10509" max="10509" width="1.140625" style="1" customWidth="1"/>
    <col min="10510" max="10510" width="11.28515625" style="1" customWidth="1"/>
    <col min="10511" max="10511" width="12.7109375" style="1" customWidth="1"/>
    <col min="10512" max="10512" width="11.5703125" style="1" customWidth="1"/>
    <col min="10513" max="10513" width="12.42578125" style="1" customWidth="1"/>
    <col min="10514" max="10514" width="1.5703125" style="1" customWidth="1"/>
    <col min="10515" max="10515" width="11.42578125" style="1" customWidth="1"/>
    <col min="10516" max="10516" width="12.140625" style="1" customWidth="1"/>
    <col min="10517" max="10517" width="1.7109375" style="1" customWidth="1"/>
    <col min="10518" max="10518" width="13.5703125" style="1" customWidth="1"/>
    <col min="10519" max="10755" width="8.85546875" style="1"/>
    <col min="10756" max="10756" width="9.28515625" style="1" customWidth="1"/>
    <col min="10757" max="10757" width="1.7109375" style="1" customWidth="1"/>
    <col min="10758" max="10761" width="12" style="1" customWidth="1"/>
    <col min="10762" max="10762" width="11.85546875" style="1" customWidth="1"/>
    <col min="10763" max="10763" width="10.7109375" style="1" customWidth="1"/>
    <col min="10764" max="10764" width="10.5703125" style="1" customWidth="1"/>
    <col min="10765" max="10765" width="1.140625" style="1" customWidth="1"/>
    <col min="10766" max="10766" width="11.28515625" style="1" customWidth="1"/>
    <col min="10767" max="10767" width="12.7109375" style="1" customWidth="1"/>
    <col min="10768" max="10768" width="11.5703125" style="1" customWidth="1"/>
    <col min="10769" max="10769" width="12.42578125" style="1" customWidth="1"/>
    <col min="10770" max="10770" width="1.5703125" style="1" customWidth="1"/>
    <col min="10771" max="10771" width="11.42578125" style="1" customWidth="1"/>
    <col min="10772" max="10772" width="12.140625" style="1" customWidth="1"/>
    <col min="10773" max="10773" width="1.7109375" style="1" customWidth="1"/>
    <col min="10774" max="10774" width="13.5703125" style="1" customWidth="1"/>
    <col min="10775" max="11011" width="8.85546875" style="1"/>
    <col min="11012" max="11012" width="9.28515625" style="1" customWidth="1"/>
    <col min="11013" max="11013" width="1.7109375" style="1" customWidth="1"/>
    <col min="11014" max="11017" width="12" style="1" customWidth="1"/>
    <col min="11018" max="11018" width="11.85546875" style="1" customWidth="1"/>
    <col min="11019" max="11019" width="10.7109375" style="1" customWidth="1"/>
    <col min="11020" max="11020" width="10.5703125" style="1" customWidth="1"/>
    <col min="11021" max="11021" width="1.140625" style="1" customWidth="1"/>
    <col min="11022" max="11022" width="11.28515625" style="1" customWidth="1"/>
    <col min="11023" max="11023" width="12.7109375" style="1" customWidth="1"/>
    <col min="11024" max="11024" width="11.5703125" style="1" customWidth="1"/>
    <col min="11025" max="11025" width="12.42578125" style="1" customWidth="1"/>
    <col min="11026" max="11026" width="1.5703125" style="1" customWidth="1"/>
    <col min="11027" max="11027" width="11.42578125" style="1" customWidth="1"/>
    <col min="11028" max="11028" width="12.140625" style="1" customWidth="1"/>
    <col min="11029" max="11029" width="1.7109375" style="1" customWidth="1"/>
    <col min="11030" max="11030" width="13.5703125" style="1" customWidth="1"/>
    <col min="11031" max="11267" width="8.85546875" style="1"/>
    <col min="11268" max="11268" width="9.28515625" style="1" customWidth="1"/>
    <col min="11269" max="11269" width="1.7109375" style="1" customWidth="1"/>
    <col min="11270" max="11273" width="12" style="1" customWidth="1"/>
    <col min="11274" max="11274" width="11.85546875" style="1" customWidth="1"/>
    <col min="11275" max="11275" width="10.7109375" style="1" customWidth="1"/>
    <col min="11276" max="11276" width="10.5703125" style="1" customWidth="1"/>
    <col min="11277" max="11277" width="1.140625" style="1" customWidth="1"/>
    <col min="11278" max="11278" width="11.28515625" style="1" customWidth="1"/>
    <col min="11279" max="11279" width="12.7109375" style="1" customWidth="1"/>
    <col min="11280" max="11280" width="11.5703125" style="1" customWidth="1"/>
    <col min="11281" max="11281" width="12.42578125" style="1" customWidth="1"/>
    <col min="11282" max="11282" width="1.5703125" style="1" customWidth="1"/>
    <col min="11283" max="11283" width="11.42578125" style="1" customWidth="1"/>
    <col min="11284" max="11284" width="12.140625" style="1" customWidth="1"/>
    <col min="11285" max="11285" width="1.7109375" style="1" customWidth="1"/>
    <col min="11286" max="11286" width="13.5703125" style="1" customWidth="1"/>
    <col min="11287" max="11523" width="8.85546875" style="1"/>
    <col min="11524" max="11524" width="9.28515625" style="1" customWidth="1"/>
    <col min="11525" max="11525" width="1.7109375" style="1" customWidth="1"/>
    <col min="11526" max="11529" width="12" style="1" customWidth="1"/>
    <col min="11530" max="11530" width="11.85546875" style="1" customWidth="1"/>
    <col min="11531" max="11531" width="10.7109375" style="1" customWidth="1"/>
    <col min="11532" max="11532" width="10.5703125" style="1" customWidth="1"/>
    <col min="11533" max="11533" width="1.140625" style="1" customWidth="1"/>
    <col min="11534" max="11534" width="11.28515625" style="1" customWidth="1"/>
    <col min="11535" max="11535" width="12.7109375" style="1" customWidth="1"/>
    <col min="11536" max="11536" width="11.5703125" style="1" customWidth="1"/>
    <col min="11537" max="11537" width="12.42578125" style="1" customWidth="1"/>
    <col min="11538" max="11538" width="1.5703125" style="1" customWidth="1"/>
    <col min="11539" max="11539" width="11.42578125" style="1" customWidth="1"/>
    <col min="11540" max="11540" width="12.140625" style="1" customWidth="1"/>
    <col min="11541" max="11541" width="1.7109375" style="1" customWidth="1"/>
    <col min="11542" max="11542" width="13.5703125" style="1" customWidth="1"/>
    <col min="11543" max="11779" width="8.85546875" style="1"/>
    <col min="11780" max="11780" width="9.28515625" style="1" customWidth="1"/>
    <col min="11781" max="11781" width="1.7109375" style="1" customWidth="1"/>
    <col min="11782" max="11785" width="12" style="1" customWidth="1"/>
    <col min="11786" max="11786" width="11.85546875" style="1" customWidth="1"/>
    <col min="11787" max="11787" width="10.7109375" style="1" customWidth="1"/>
    <col min="11788" max="11788" width="10.5703125" style="1" customWidth="1"/>
    <col min="11789" max="11789" width="1.140625" style="1" customWidth="1"/>
    <col min="11790" max="11790" width="11.28515625" style="1" customWidth="1"/>
    <col min="11791" max="11791" width="12.7109375" style="1" customWidth="1"/>
    <col min="11792" max="11792" width="11.5703125" style="1" customWidth="1"/>
    <col min="11793" max="11793" width="12.42578125" style="1" customWidth="1"/>
    <col min="11794" max="11794" width="1.5703125" style="1" customWidth="1"/>
    <col min="11795" max="11795" width="11.42578125" style="1" customWidth="1"/>
    <col min="11796" max="11796" width="12.140625" style="1" customWidth="1"/>
    <col min="11797" max="11797" width="1.7109375" style="1" customWidth="1"/>
    <col min="11798" max="11798" width="13.5703125" style="1" customWidth="1"/>
    <col min="11799" max="12035" width="8.85546875" style="1"/>
    <col min="12036" max="12036" width="9.28515625" style="1" customWidth="1"/>
    <col min="12037" max="12037" width="1.7109375" style="1" customWidth="1"/>
    <col min="12038" max="12041" width="12" style="1" customWidth="1"/>
    <col min="12042" max="12042" width="11.85546875" style="1" customWidth="1"/>
    <col min="12043" max="12043" width="10.7109375" style="1" customWidth="1"/>
    <col min="12044" max="12044" width="10.5703125" style="1" customWidth="1"/>
    <col min="12045" max="12045" width="1.140625" style="1" customWidth="1"/>
    <col min="12046" max="12046" width="11.28515625" style="1" customWidth="1"/>
    <col min="12047" max="12047" width="12.7109375" style="1" customWidth="1"/>
    <col min="12048" max="12048" width="11.5703125" style="1" customWidth="1"/>
    <col min="12049" max="12049" width="12.42578125" style="1" customWidth="1"/>
    <col min="12050" max="12050" width="1.5703125" style="1" customWidth="1"/>
    <col min="12051" max="12051" width="11.42578125" style="1" customWidth="1"/>
    <col min="12052" max="12052" width="12.140625" style="1" customWidth="1"/>
    <col min="12053" max="12053" width="1.7109375" style="1" customWidth="1"/>
    <col min="12054" max="12054" width="13.5703125" style="1" customWidth="1"/>
    <col min="12055" max="12291" width="8.85546875" style="1"/>
    <col min="12292" max="12292" width="9.28515625" style="1" customWidth="1"/>
    <col min="12293" max="12293" width="1.7109375" style="1" customWidth="1"/>
    <col min="12294" max="12297" width="12" style="1" customWidth="1"/>
    <col min="12298" max="12298" width="11.85546875" style="1" customWidth="1"/>
    <col min="12299" max="12299" width="10.7109375" style="1" customWidth="1"/>
    <col min="12300" max="12300" width="10.5703125" style="1" customWidth="1"/>
    <col min="12301" max="12301" width="1.140625" style="1" customWidth="1"/>
    <col min="12302" max="12302" width="11.28515625" style="1" customWidth="1"/>
    <col min="12303" max="12303" width="12.7109375" style="1" customWidth="1"/>
    <col min="12304" max="12304" width="11.5703125" style="1" customWidth="1"/>
    <col min="12305" max="12305" width="12.42578125" style="1" customWidth="1"/>
    <col min="12306" max="12306" width="1.5703125" style="1" customWidth="1"/>
    <col min="12307" max="12307" width="11.42578125" style="1" customWidth="1"/>
    <col min="12308" max="12308" width="12.140625" style="1" customWidth="1"/>
    <col min="12309" max="12309" width="1.7109375" style="1" customWidth="1"/>
    <col min="12310" max="12310" width="13.5703125" style="1" customWidth="1"/>
    <col min="12311" max="12547" width="8.85546875" style="1"/>
    <col min="12548" max="12548" width="9.28515625" style="1" customWidth="1"/>
    <col min="12549" max="12549" width="1.7109375" style="1" customWidth="1"/>
    <col min="12550" max="12553" width="12" style="1" customWidth="1"/>
    <col min="12554" max="12554" width="11.85546875" style="1" customWidth="1"/>
    <col min="12555" max="12555" width="10.7109375" style="1" customWidth="1"/>
    <col min="12556" max="12556" width="10.5703125" style="1" customWidth="1"/>
    <col min="12557" max="12557" width="1.140625" style="1" customWidth="1"/>
    <col min="12558" max="12558" width="11.28515625" style="1" customWidth="1"/>
    <col min="12559" max="12559" width="12.7109375" style="1" customWidth="1"/>
    <col min="12560" max="12560" width="11.5703125" style="1" customWidth="1"/>
    <col min="12561" max="12561" width="12.42578125" style="1" customWidth="1"/>
    <col min="12562" max="12562" width="1.5703125" style="1" customWidth="1"/>
    <col min="12563" max="12563" width="11.42578125" style="1" customWidth="1"/>
    <col min="12564" max="12564" width="12.140625" style="1" customWidth="1"/>
    <col min="12565" max="12565" width="1.7109375" style="1" customWidth="1"/>
    <col min="12566" max="12566" width="13.5703125" style="1" customWidth="1"/>
    <col min="12567" max="12803" width="8.85546875" style="1"/>
    <col min="12804" max="12804" width="9.28515625" style="1" customWidth="1"/>
    <col min="12805" max="12805" width="1.7109375" style="1" customWidth="1"/>
    <col min="12806" max="12809" width="12" style="1" customWidth="1"/>
    <col min="12810" max="12810" width="11.85546875" style="1" customWidth="1"/>
    <col min="12811" max="12811" width="10.7109375" style="1" customWidth="1"/>
    <col min="12812" max="12812" width="10.5703125" style="1" customWidth="1"/>
    <col min="12813" max="12813" width="1.140625" style="1" customWidth="1"/>
    <col min="12814" max="12814" width="11.28515625" style="1" customWidth="1"/>
    <col min="12815" max="12815" width="12.7109375" style="1" customWidth="1"/>
    <col min="12816" max="12816" width="11.5703125" style="1" customWidth="1"/>
    <col min="12817" max="12817" width="12.42578125" style="1" customWidth="1"/>
    <col min="12818" max="12818" width="1.5703125" style="1" customWidth="1"/>
    <col min="12819" max="12819" width="11.42578125" style="1" customWidth="1"/>
    <col min="12820" max="12820" width="12.140625" style="1" customWidth="1"/>
    <col min="12821" max="12821" width="1.7109375" style="1" customWidth="1"/>
    <col min="12822" max="12822" width="13.5703125" style="1" customWidth="1"/>
    <col min="12823" max="13059" width="8.85546875" style="1"/>
    <col min="13060" max="13060" width="9.28515625" style="1" customWidth="1"/>
    <col min="13061" max="13061" width="1.7109375" style="1" customWidth="1"/>
    <col min="13062" max="13065" width="12" style="1" customWidth="1"/>
    <col min="13066" max="13066" width="11.85546875" style="1" customWidth="1"/>
    <col min="13067" max="13067" width="10.7109375" style="1" customWidth="1"/>
    <col min="13068" max="13068" width="10.5703125" style="1" customWidth="1"/>
    <col min="13069" max="13069" width="1.140625" style="1" customWidth="1"/>
    <col min="13070" max="13070" width="11.28515625" style="1" customWidth="1"/>
    <col min="13071" max="13071" width="12.7109375" style="1" customWidth="1"/>
    <col min="13072" max="13072" width="11.5703125" style="1" customWidth="1"/>
    <col min="13073" max="13073" width="12.42578125" style="1" customWidth="1"/>
    <col min="13074" max="13074" width="1.5703125" style="1" customWidth="1"/>
    <col min="13075" max="13075" width="11.42578125" style="1" customWidth="1"/>
    <col min="13076" max="13076" width="12.140625" style="1" customWidth="1"/>
    <col min="13077" max="13077" width="1.7109375" style="1" customWidth="1"/>
    <col min="13078" max="13078" width="13.5703125" style="1" customWidth="1"/>
    <col min="13079" max="13315" width="8.85546875" style="1"/>
    <col min="13316" max="13316" width="9.28515625" style="1" customWidth="1"/>
    <col min="13317" max="13317" width="1.7109375" style="1" customWidth="1"/>
    <col min="13318" max="13321" width="12" style="1" customWidth="1"/>
    <col min="13322" max="13322" width="11.85546875" style="1" customWidth="1"/>
    <col min="13323" max="13323" width="10.7109375" style="1" customWidth="1"/>
    <col min="13324" max="13324" width="10.5703125" style="1" customWidth="1"/>
    <col min="13325" max="13325" width="1.140625" style="1" customWidth="1"/>
    <col min="13326" max="13326" width="11.28515625" style="1" customWidth="1"/>
    <col min="13327" max="13327" width="12.7109375" style="1" customWidth="1"/>
    <col min="13328" max="13328" width="11.5703125" style="1" customWidth="1"/>
    <col min="13329" max="13329" width="12.42578125" style="1" customWidth="1"/>
    <col min="13330" max="13330" width="1.5703125" style="1" customWidth="1"/>
    <col min="13331" max="13331" width="11.42578125" style="1" customWidth="1"/>
    <col min="13332" max="13332" width="12.140625" style="1" customWidth="1"/>
    <col min="13333" max="13333" width="1.7109375" style="1" customWidth="1"/>
    <col min="13334" max="13334" width="13.5703125" style="1" customWidth="1"/>
    <col min="13335" max="13571" width="8.85546875" style="1"/>
    <col min="13572" max="13572" width="9.28515625" style="1" customWidth="1"/>
    <col min="13573" max="13573" width="1.7109375" style="1" customWidth="1"/>
    <col min="13574" max="13577" width="12" style="1" customWidth="1"/>
    <col min="13578" max="13578" width="11.85546875" style="1" customWidth="1"/>
    <col min="13579" max="13579" width="10.7109375" style="1" customWidth="1"/>
    <col min="13580" max="13580" width="10.5703125" style="1" customWidth="1"/>
    <col min="13581" max="13581" width="1.140625" style="1" customWidth="1"/>
    <col min="13582" max="13582" width="11.28515625" style="1" customWidth="1"/>
    <col min="13583" max="13583" width="12.7109375" style="1" customWidth="1"/>
    <col min="13584" max="13584" width="11.5703125" style="1" customWidth="1"/>
    <col min="13585" max="13585" width="12.42578125" style="1" customWidth="1"/>
    <col min="13586" max="13586" width="1.5703125" style="1" customWidth="1"/>
    <col min="13587" max="13587" width="11.42578125" style="1" customWidth="1"/>
    <col min="13588" max="13588" width="12.140625" style="1" customWidth="1"/>
    <col min="13589" max="13589" width="1.7109375" style="1" customWidth="1"/>
    <col min="13590" max="13590" width="13.5703125" style="1" customWidth="1"/>
    <col min="13591" max="13827" width="8.85546875" style="1"/>
    <col min="13828" max="13828" width="9.28515625" style="1" customWidth="1"/>
    <col min="13829" max="13829" width="1.7109375" style="1" customWidth="1"/>
    <col min="13830" max="13833" width="12" style="1" customWidth="1"/>
    <col min="13834" max="13834" width="11.85546875" style="1" customWidth="1"/>
    <col min="13835" max="13835" width="10.7109375" style="1" customWidth="1"/>
    <col min="13836" max="13836" width="10.5703125" style="1" customWidth="1"/>
    <col min="13837" max="13837" width="1.140625" style="1" customWidth="1"/>
    <col min="13838" max="13838" width="11.28515625" style="1" customWidth="1"/>
    <col min="13839" max="13839" width="12.7109375" style="1" customWidth="1"/>
    <col min="13840" max="13840" width="11.5703125" style="1" customWidth="1"/>
    <col min="13841" max="13841" width="12.42578125" style="1" customWidth="1"/>
    <col min="13842" max="13842" width="1.5703125" style="1" customWidth="1"/>
    <col min="13843" max="13843" width="11.42578125" style="1" customWidth="1"/>
    <col min="13844" max="13844" width="12.140625" style="1" customWidth="1"/>
    <col min="13845" max="13845" width="1.7109375" style="1" customWidth="1"/>
    <col min="13846" max="13846" width="13.5703125" style="1" customWidth="1"/>
    <col min="13847" max="14083" width="8.85546875" style="1"/>
    <col min="14084" max="14084" width="9.28515625" style="1" customWidth="1"/>
    <col min="14085" max="14085" width="1.7109375" style="1" customWidth="1"/>
    <col min="14086" max="14089" width="12" style="1" customWidth="1"/>
    <col min="14090" max="14090" width="11.85546875" style="1" customWidth="1"/>
    <col min="14091" max="14091" width="10.7109375" style="1" customWidth="1"/>
    <col min="14092" max="14092" width="10.5703125" style="1" customWidth="1"/>
    <col min="14093" max="14093" width="1.140625" style="1" customWidth="1"/>
    <col min="14094" max="14094" width="11.28515625" style="1" customWidth="1"/>
    <col min="14095" max="14095" width="12.7109375" style="1" customWidth="1"/>
    <col min="14096" max="14096" width="11.5703125" style="1" customWidth="1"/>
    <col min="14097" max="14097" width="12.42578125" style="1" customWidth="1"/>
    <col min="14098" max="14098" width="1.5703125" style="1" customWidth="1"/>
    <col min="14099" max="14099" width="11.42578125" style="1" customWidth="1"/>
    <col min="14100" max="14100" width="12.140625" style="1" customWidth="1"/>
    <col min="14101" max="14101" width="1.7109375" style="1" customWidth="1"/>
    <col min="14102" max="14102" width="13.5703125" style="1" customWidth="1"/>
    <col min="14103" max="14339" width="8.85546875" style="1"/>
    <col min="14340" max="14340" width="9.28515625" style="1" customWidth="1"/>
    <col min="14341" max="14341" width="1.7109375" style="1" customWidth="1"/>
    <col min="14342" max="14345" width="12" style="1" customWidth="1"/>
    <col min="14346" max="14346" width="11.85546875" style="1" customWidth="1"/>
    <col min="14347" max="14347" width="10.7109375" style="1" customWidth="1"/>
    <col min="14348" max="14348" width="10.5703125" style="1" customWidth="1"/>
    <col min="14349" max="14349" width="1.140625" style="1" customWidth="1"/>
    <col min="14350" max="14350" width="11.28515625" style="1" customWidth="1"/>
    <col min="14351" max="14351" width="12.7109375" style="1" customWidth="1"/>
    <col min="14352" max="14352" width="11.5703125" style="1" customWidth="1"/>
    <col min="14353" max="14353" width="12.42578125" style="1" customWidth="1"/>
    <col min="14354" max="14354" width="1.5703125" style="1" customWidth="1"/>
    <col min="14355" max="14355" width="11.42578125" style="1" customWidth="1"/>
    <col min="14356" max="14356" width="12.140625" style="1" customWidth="1"/>
    <col min="14357" max="14357" width="1.7109375" style="1" customWidth="1"/>
    <col min="14358" max="14358" width="13.5703125" style="1" customWidth="1"/>
    <col min="14359" max="14595" width="8.85546875" style="1"/>
    <col min="14596" max="14596" width="9.28515625" style="1" customWidth="1"/>
    <col min="14597" max="14597" width="1.7109375" style="1" customWidth="1"/>
    <col min="14598" max="14601" width="12" style="1" customWidth="1"/>
    <col min="14602" max="14602" width="11.85546875" style="1" customWidth="1"/>
    <col min="14603" max="14603" width="10.7109375" style="1" customWidth="1"/>
    <col min="14604" max="14604" width="10.5703125" style="1" customWidth="1"/>
    <col min="14605" max="14605" width="1.140625" style="1" customWidth="1"/>
    <col min="14606" max="14606" width="11.28515625" style="1" customWidth="1"/>
    <col min="14607" max="14607" width="12.7109375" style="1" customWidth="1"/>
    <col min="14608" max="14608" width="11.5703125" style="1" customWidth="1"/>
    <col min="14609" max="14609" width="12.42578125" style="1" customWidth="1"/>
    <col min="14610" max="14610" width="1.5703125" style="1" customWidth="1"/>
    <col min="14611" max="14611" width="11.42578125" style="1" customWidth="1"/>
    <col min="14612" max="14612" width="12.140625" style="1" customWidth="1"/>
    <col min="14613" max="14613" width="1.7109375" style="1" customWidth="1"/>
    <col min="14614" max="14614" width="13.5703125" style="1" customWidth="1"/>
    <col min="14615" max="14851" width="8.85546875" style="1"/>
    <col min="14852" max="14852" width="9.28515625" style="1" customWidth="1"/>
    <col min="14853" max="14853" width="1.7109375" style="1" customWidth="1"/>
    <col min="14854" max="14857" width="12" style="1" customWidth="1"/>
    <col min="14858" max="14858" width="11.85546875" style="1" customWidth="1"/>
    <col min="14859" max="14859" width="10.7109375" style="1" customWidth="1"/>
    <col min="14860" max="14860" width="10.5703125" style="1" customWidth="1"/>
    <col min="14861" max="14861" width="1.140625" style="1" customWidth="1"/>
    <col min="14862" max="14862" width="11.28515625" style="1" customWidth="1"/>
    <col min="14863" max="14863" width="12.7109375" style="1" customWidth="1"/>
    <col min="14864" max="14864" width="11.5703125" style="1" customWidth="1"/>
    <col min="14865" max="14865" width="12.42578125" style="1" customWidth="1"/>
    <col min="14866" max="14866" width="1.5703125" style="1" customWidth="1"/>
    <col min="14867" max="14867" width="11.42578125" style="1" customWidth="1"/>
    <col min="14868" max="14868" width="12.140625" style="1" customWidth="1"/>
    <col min="14869" max="14869" width="1.7109375" style="1" customWidth="1"/>
    <col min="14870" max="14870" width="13.5703125" style="1" customWidth="1"/>
    <col min="14871" max="15107" width="8.85546875" style="1"/>
    <col min="15108" max="15108" width="9.28515625" style="1" customWidth="1"/>
    <col min="15109" max="15109" width="1.7109375" style="1" customWidth="1"/>
    <col min="15110" max="15113" width="12" style="1" customWidth="1"/>
    <col min="15114" max="15114" width="11.85546875" style="1" customWidth="1"/>
    <col min="15115" max="15115" width="10.7109375" style="1" customWidth="1"/>
    <col min="15116" max="15116" width="10.5703125" style="1" customWidth="1"/>
    <col min="15117" max="15117" width="1.140625" style="1" customWidth="1"/>
    <col min="15118" max="15118" width="11.28515625" style="1" customWidth="1"/>
    <col min="15119" max="15119" width="12.7109375" style="1" customWidth="1"/>
    <col min="15120" max="15120" width="11.5703125" style="1" customWidth="1"/>
    <col min="15121" max="15121" width="12.42578125" style="1" customWidth="1"/>
    <col min="15122" max="15122" width="1.5703125" style="1" customWidth="1"/>
    <col min="15123" max="15123" width="11.42578125" style="1" customWidth="1"/>
    <col min="15124" max="15124" width="12.140625" style="1" customWidth="1"/>
    <col min="15125" max="15125" width="1.7109375" style="1" customWidth="1"/>
    <col min="15126" max="15126" width="13.5703125" style="1" customWidth="1"/>
    <col min="15127" max="15363" width="8.85546875" style="1"/>
    <col min="15364" max="15364" width="9.28515625" style="1" customWidth="1"/>
    <col min="15365" max="15365" width="1.7109375" style="1" customWidth="1"/>
    <col min="15366" max="15369" width="12" style="1" customWidth="1"/>
    <col min="15370" max="15370" width="11.85546875" style="1" customWidth="1"/>
    <col min="15371" max="15371" width="10.7109375" style="1" customWidth="1"/>
    <col min="15372" max="15372" width="10.5703125" style="1" customWidth="1"/>
    <col min="15373" max="15373" width="1.140625" style="1" customWidth="1"/>
    <col min="15374" max="15374" width="11.28515625" style="1" customWidth="1"/>
    <col min="15375" max="15375" width="12.7109375" style="1" customWidth="1"/>
    <col min="15376" max="15376" width="11.5703125" style="1" customWidth="1"/>
    <col min="15377" max="15377" width="12.42578125" style="1" customWidth="1"/>
    <col min="15378" max="15378" width="1.5703125" style="1" customWidth="1"/>
    <col min="15379" max="15379" width="11.42578125" style="1" customWidth="1"/>
    <col min="15380" max="15380" width="12.140625" style="1" customWidth="1"/>
    <col min="15381" max="15381" width="1.7109375" style="1" customWidth="1"/>
    <col min="15382" max="15382" width="13.5703125" style="1" customWidth="1"/>
    <col min="15383" max="15619" width="8.85546875" style="1"/>
    <col min="15620" max="15620" width="9.28515625" style="1" customWidth="1"/>
    <col min="15621" max="15621" width="1.7109375" style="1" customWidth="1"/>
    <col min="15622" max="15625" width="12" style="1" customWidth="1"/>
    <col min="15626" max="15626" width="11.85546875" style="1" customWidth="1"/>
    <col min="15627" max="15627" width="10.7109375" style="1" customWidth="1"/>
    <col min="15628" max="15628" width="10.5703125" style="1" customWidth="1"/>
    <col min="15629" max="15629" width="1.140625" style="1" customWidth="1"/>
    <col min="15630" max="15630" width="11.28515625" style="1" customWidth="1"/>
    <col min="15631" max="15631" width="12.7109375" style="1" customWidth="1"/>
    <col min="15632" max="15632" width="11.5703125" style="1" customWidth="1"/>
    <col min="15633" max="15633" width="12.42578125" style="1" customWidth="1"/>
    <col min="15634" max="15634" width="1.5703125" style="1" customWidth="1"/>
    <col min="15635" max="15635" width="11.42578125" style="1" customWidth="1"/>
    <col min="15636" max="15636" width="12.140625" style="1" customWidth="1"/>
    <col min="15637" max="15637" width="1.7109375" style="1" customWidth="1"/>
    <col min="15638" max="15638" width="13.5703125" style="1" customWidth="1"/>
    <col min="15639" max="15875" width="8.85546875" style="1"/>
    <col min="15876" max="15876" width="9.28515625" style="1" customWidth="1"/>
    <col min="15877" max="15877" width="1.7109375" style="1" customWidth="1"/>
    <col min="15878" max="15881" width="12" style="1" customWidth="1"/>
    <col min="15882" max="15882" width="11.85546875" style="1" customWidth="1"/>
    <col min="15883" max="15883" width="10.7109375" style="1" customWidth="1"/>
    <col min="15884" max="15884" width="10.5703125" style="1" customWidth="1"/>
    <col min="15885" max="15885" width="1.140625" style="1" customWidth="1"/>
    <col min="15886" max="15886" width="11.28515625" style="1" customWidth="1"/>
    <col min="15887" max="15887" width="12.7109375" style="1" customWidth="1"/>
    <col min="15888" max="15888" width="11.5703125" style="1" customWidth="1"/>
    <col min="15889" max="15889" width="12.42578125" style="1" customWidth="1"/>
    <col min="15890" max="15890" width="1.5703125" style="1" customWidth="1"/>
    <col min="15891" max="15891" width="11.42578125" style="1" customWidth="1"/>
    <col min="15892" max="15892" width="12.140625" style="1" customWidth="1"/>
    <col min="15893" max="15893" width="1.7109375" style="1" customWidth="1"/>
    <col min="15894" max="15894" width="13.5703125" style="1" customWidth="1"/>
    <col min="15895" max="16131" width="8.85546875" style="1"/>
    <col min="16132" max="16132" width="9.28515625" style="1" customWidth="1"/>
    <col min="16133" max="16133" width="1.7109375" style="1" customWidth="1"/>
    <col min="16134" max="16137" width="12" style="1" customWidth="1"/>
    <col min="16138" max="16138" width="11.85546875" style="1" customWidth="1"/>
    <col min="16139" max="16139" width="10.7109375" style="1" customWidth="1"/>
    <col min="16140" max="16140" width="10.5703125" style="1" customWidth="1"/>
    <col min="16141" max="16141" width="1.140625" style="1" customWidth="1"/>
    <col min="16142" max="16142" width="11.28515625" style="1" customWidth="1"/>
    <col min="16143" max="16143" width="12.7109375" style="1" customWidth="1"/>
    <col min="16144" max="16144" width="11.5703125" style="1" customWidth="1"/>
    <col min="16145" max="16145" width="12.42578125" style="1" customWidth="1"/>
    <col min="16146" max="16146" width="1.5703125" style="1" customWidth="1"/>
    <col min="16147" max="16147" width="11.42578125" style="1" customWidth="1"/>
    <col min="16148" max="16148" width="12.140625" style="1" customWidth="1"/>
    <col min="16149" max="16149" width="1.7109375" style="1" customWidth="1"/>
    <col min="16150" max="16150" width="13.5703125" style="1" customWidth="1"/>
    <col min="16151" max="16384" width="8.85546875" style="1"/>
  </cols>
  <sheetData>
    <row r="1" spans="1:22" ht="18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</row>
    <row r="2" spans="1:22" ht="15.75" x14ac:dyDescent="0.25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</row>
    <row r="3" spans="1:22" s="2" customFormat="1" ht="15.75" x14ac:dyDescent="0.25">
      <c r="A3" s="128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</row>
    <row r="4" spans="1:22" s="2" customFormat="1" ht="14.25" customHeight="1" x14ac:dyDescent="0.25">
      <c r="A4" s="129" t="s">
        <v>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</row>
    <row r="5" spans="1:22" s="2" customFormat="1" x14ac:dyDescent="0.25">
      <c r="A5" s="131" t="s">
        <v>4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</row>
    <row r="6" spans="1:22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</row>
    <row r="7" spans="1:22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</row>
    <row r="8" spans="1:22" s="9" customFormat="1" ht="14.25" customHeight="1" x14ac:dyDescent="0.25">
      <c r="A8" s="121" t="s">
        <v>70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3"/>
    </row>
    <row r="9" spans="1:22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4"/>
      <c r="V9" s="4"/>
    </row>
    <row r="10" spans="1:22" s="15" customFormat="1" ht="12.75" x14ac:dyDescent="0.2">
      <c r="A10" s="10"/>
      <c r="B10" s="10"/>
      <c r="C10" s="118" t="s">
        <v>6</v>
      </c>
      <c r="D10" s="119"/>
      <c r="E10" s="119"/>
      <c r="F10" s="119"/>
      <c r="G10" s="119"/>
      <c r="H10" s="119"/>
      <c r="I10" s="119"/>
      <c r="J10" s="11"/>
      <c r="K10" s="12"/>
      <c r="L10" s="118" t="s">
        <v>7</v>
      </c>
      <c r="M10" s="119"/>
      <c r="N10" s="119"/>
      <c r="O10" s="120"/>
      <c r="P10" s="13"/>
      <c r="Q10" s="118" t="s">
        <v>8</v>
      </c>
      <c r="R10" s="120"/>
      <c r="S10" s="102"/>
      <c r="T10" s="103" t="s">
        <v>72</v>
      </c>
      <c r="U10" s="14"/>
      <c r="V10" s="14"/>
    </row>
    <row r="11" spans="1:22" s="21" customFormat="1" ht="12" x14ac:dyDescent="0.2">
      <c r="A11" s="16"/>
      <c r="B11" s="16"/>
      <c r="C11" s="17"/>
      <c r="D11" s="18" t="s">
        <v>9</v>
      </c>
      <c r="E11" s="17"/>
      <c r="F11" s="17"/>
      <c r="G11" s="17"/>
      <c r="H11" s="19" t="s">
        <v>10</v>
      </c>
      <c r="I11" s="17"/>
      <c r="J11" s="17"/>
      <c r="K11" s="17"/>
      <c r="L11" s="18" t="s">
        <v>11</v>
      </c>
      <c r="M11" s="18"/>
      <c r="N11" s="18" t="s">
        <v>9</v>
      </c>
      <c r="O11" s="18" t="s">
        <v>11</v>
      </c>
      <c r="P11" s="20"/>
      <c r="Q11" s="18" t="s">
        <v>11</v>
      </c>
      <c r="R11" s="18" t="s">
        <v>11</v>
      </c>
      <c r="S11" s="18"/>
      <c r="T11" s="18"/>
      <c r="U11" s="20"/>
      <c r="V11" s="18" t="s">
        <v>11</v>
      </c>
    </row>
    <row r="12" spans="1:22" s="25" customFormat="1" ht="12" x14ac:dyDescent="0.2">
      <c r="A12" s="22"/>
      <c r="B12" s="22"/>
      <c r="C12" s="18" t="s">
        <v>12</v>
      </c>
      <c r="D12" s="23" t="s">
        <v>13</v>
      </c>
      <c r="E12" s="18" t="s">
        <v>12</v>
      </c>
      <c r="F12" s="18" t="s">
        <v>14</v>
      </c>
      <c r="G12" s="18"/>
      <c r="H12" s="19" t="s">
        <v>15</v>
      </c>
      <c r="I12" s="18" t="s">
        <v>16</v>
      </c>
      <c r="J12" s="18"/>
      <c r="K12" s="18"/>
      <c r="L12" s="24" t="s">
        <v>10</v>
      </c>
      <c r="M12" s="18" t="s">
        <v>17</v>
      </c>
      <c r="N12" s="18" t="s">
        <v>17</v>
      </c>
      <c r="O12" s="18" t="s">
        <v>17</v>
      </c>
      <c r="P12" s="24"/>
      <c r="Q12" s="24" t="s">
        <v>10</v>
      </c>
      <c r="R12" s="18" t="s">
        <v>18</v>
      </c>
      <c r="S12" s="18"/>
      <c r="T12" s="18" t="s">
        <v>72</v>
      </c>
      <c r="U12" s="24"/>
      <c r="V12" s="18" t="s">
        <v>11</v>
      </c>
    </row>
    <row r="13" spans="1:22" s="25" customFormat="1" ht="12" x14ac:dyDescent="0.2">
      <c r="A13" s="26" t="s">
        <v>19</v>
      </c>
      <c r="B13" s="26"/>
      <c r="C13" s="27" t="s">
        <v>20</v>
      </c>
      <c r="D13" s="27" t="s">
        <v>12</v>
      </c>
      <c r="E13" s="27" t="s">
        <v>21</v>
      </c>
      <c r="F13" s="27" t="s">
        <v>22</v>
      </c>
      <c r="G13" s="27"/>
      <c r="H13" s="28" t="s">
        <v>23</v>
      </c>
      <c r="I13" s="27" t="s">
        <v>24</v>
      </c>
      <c r="J13" s="23"/>
      <c r="K13" s="23"/>
      <c r="L13" s="27" t="s">
        <v>25</v>
      </c>
      <c r="M13" s="27" t="s">
        <v>26</v>
      </c>
      <c r="N13" s="27" t="s">
        <v>12</v>
      </c>
      <c r="O13" s="27" t="s">
        <v>22</v>
      </c>
      <c r="P13" s="29"/>
      <c r="Q13" s="27" t="s">
        <v>8</v>
      </c>
      <c r="R13" s="27" t="s">
        <v>22</v>
      </c>
      <c r="S13" s="23"/>
      <c r="T13" s="27" t="s">
        <v>22</v>
      </c>
      <c r="U13" s="24"/>
      <c r="V13" s="27" t="s">
        <v>27</v>
      </c>
    </row>
    <row r="14" spans="1:22" x14ac:dyDescent="0.25">
      <c r="A14" s="5">
        <v>43556</v>
      </c>
      <c r="B14" s="5"/>
      <c r="C14" s="30">
        <v>114316181</v>
      </c>
      <c r="D14" s="30">
        <v>911871.31</v>
      </c>
      <c r="E14" s="30">
        <v>103397512.26000001</v>
      </c>
      <c r="F14" s="30">
        <v>10006797.43</v>
      </c>
      <c r="G14" s="30"/>
      <c r="H14" s="31">
        <v>1150</v>
      </c>
      <c r="I14" s="30">
        <v>290</v>
      </c>
      <c r="J14" s="30"/>
      <c r="K14" s="32"/>
      <c r="L14" s="33">
        <v>67</v>
      </c>
      <c r="M14" s="34">
        <v>16776170</v>
      </c>
      <c r="N14" s="34">
        <v>224355</v>
      </c>
      <c r="O14" s="34">
        <v>3544335.59</v>
      </c>
      <c r="P14" s="32"/>
      <c r="Q14" s="35">
        <v>16</v>
      </c>
      <c r="R14" s="32">
        <v>409991</v>
      </c>
      <c r="S14" s="32"/>
      <c r="T14" s="30">
        <v>0</v>
      </c>
      <c r="U14" s="36"/>
      <c r="V14" s="30">
        <f>F14+O14+R14+T14</f>
        <v>13961124.02</v>
      </c>
    </row>
    <row r="15" spans="1:22" x14ac:dyDescent="0.25">
      <c r="A15" s="5">
        <v>43586</v>
      </c>
      <c r="B15" s="5"/>
      <c r="C15" s="30">
        <v>117737417.45</v>
      </c>
      <c r="D15" s="30">
        <v>972531</v>
      </c>
      <c r="E15" s="30">
        <v>106533657.8</v>
      </c>
      <c r="F15" s="30">
        <v>10231228.65</v>
      </c>
      <c r="G15" s="30"/>
      <c r="H15" s="31">
        <v>1150</v>
      </c>
      <c r="I15" s="30">
        <v>287</v>
      </c>
      <c r="J15" s="30"/>
      <c r="K15" s="37"/>
      <c r="L15" s="37">
        <v>67</v>
      </c>
      <c r="M15" s="30">
        <v>17253622</v>
      </c>
      <c r="N15" s="30">
        <v>222075</v>
      </c>
      <c r="O15" s="30">
        <v>3086928.5</v>
      </c>
      <c r="P15" s="37"/>
      <c r="Q15" s="35">
        <v>16</v>
      </c>
      <c r="R15" s="32">
        <v>416931</v>
      </c>
      <c r="S15" s="32"/>
      <c r="T15" s="30">
        <v>0</v>
      </c>
      <c r="U15" s="37"/>
      <c r="V15" s="30">
        <f t="shared" ref="V15:V25" si="0">F15+O15+R15+T15</f>
        <v>13735088.15</v>
      </c>
    </row>
    <row r="16" spans="1:22" x14ac:dyDescent="0.25">
      <c r="A16" s="5">
        <v>43617</v>
      </c>
      <c r="B16" s="5"/>
      <c r="C16" s="30">
        <v>114941149.48999999</v>
      </c>
      <c r="D16" s="30">
        <v>823716.01</v>
      </c>
      <c r="E16" s="30">
        <v>104127564.59</v>
      </c>
      <c r="F16" s="30">
        <v>9989868.8900000006</v>
      </c>
      <c r="G16" s="30"/>
      <c r="H16" s="31">
        <v>1150</v>
      </c>
      <c r="I16" s="30">
        <v>290</v>
      </c>
      <c r="J16" s="30"/>
      <c r="K16" s="37"/>
      <c r="L16" s="37">
        <v>67</v>
      </c>
      <c r="M16" s="30">
        <v>16141491</v>
      </c>
      <c r="N16" s="30">
        <v>242595</v>
      </c>
      <c r="O16" s="30">
        <v>3555899.99</v>
      </c>
      <c r="P16" s="37"/>
      <c r="Q16" s="35">
        <v>16</v>
      </c>
      <c r="R16" s="32">
        <v>372570</v>
      </c>
      <c r="S16" s="32"/>
      <c r="T16" s="30">
        <v>0</v>
      </c>
      <c r="U16" s="37"/>
      <c r="V16" s="30">
        <f t="shared" si="0"/>
        <v>13918338.880000001</v>
      </c>
    </row>
    <row r="17" spans="1:22" x14ac:dyDescent="0.25">
      <c r="A17" s="5">
        <v>43647</v>
      </c>
      <c r="B17" s="5"/>
      <c r="C17" s="30">
        <v>116745239.23999999</v>
      </c>
      <c r="D17" s="30">
        <v>916298.22</v>
      </c>
      <c r="E17" s="30">
        <v>105745754.73999999</v>
      </c>
      <c r="F17" s="30">
        <v>10083186.279999999</v>
      </c>
      <c r="G17" s="38"/>
      <c r="H17" s="31">
        <v>1150</v>
      </c>
      <c r="I17" s="30">
        <v>283</v>
      </c>
      <c r="J17" s="30"/>
      <c r="K17" s="38"/>
      <c r="L17" s="37">
        <v>67</v>
      </c>
      <c r="M17" s="30">
        <v>17276234</v>
      </c>
      <c r="N17" s="30">
        <v>267050</v>
      </c>
      <c r="O17" s="30">
        <v>3287653.38</v>
      </c>
      <c r="P17" s="38"/>
      <c r="Q17" s="35">
        <v>16</v>
      </c>
      <c r="R17" s="32">
        <v>424424</v>
      </c>
      <c r="S17" s="32"/>
      <c r="T17" s="30">
        <v>294248.94</v>
      </c>
      <c r="U17" s="38"/>
      <c r="V17" s="30">
        <f t="shared" si="0"/>
        <v>14089512.6</v>
      </c>
    </row>
    <row r="18" spans="1:22" x14ac:dyDescent="0.25">
      <c r="A18" s="5">
        <v>43678</v>
      </c>
      <c r="B18" s="5"/>
      <c r="C18" s="30">
        <v>122385233.19</v>
      </c>
      <c r="D18" s="30">
        <v>879848.1</v>
      </c>
      <c r="E18" s="30">
        <v>110754946.91</v>
      </c>
      <c r="F18" s="30">
        <v>10750438.18</v>
      </c>
      <c r="G18" s="38"/>
      <c r="H18" s="31">
        <v>1150</v>
      </c>
      <c r="I18" s="30">
        <v>302</v>
      </c>
      <c r="J18" s="30"/>
      <c r="K18" s="38"/>
      <c r="L18" s="37">
        <v>67</v>
      </c>
      <c r="M18" s="30">
        <v>18324992</v>
      </c>
      <c r="N18" s="30">
        <v>276695</v>
      </c>
      <c r="O18" s="30">
        <v>3625125.43</v>
      </c>
      <c r="P18" s="38"/>
      <c r="Q18" s="35">
        <v>16</v>
      </c>
      <c r="R18" s="32">
        <v>478098</v>
      </c>
      <c r="S18" s="32"/>
      <c r="T18" s="30">
        <v>445291.13</v>
      </c>
      <c r="U18" s="38"/>
      <c r="V18" s="30">
        <f t="shared" si="0"/>
        <v>15298952.74</v>
      </c>
    </row>
    <row r="19" spans="1:22" x14ac:dyDescent="0.25">
      <c r="A19" s="5">
        <v>43709</v>
      </c>
      <c r="B19" s="5"/>
      <c r="C19" s="30">
        <v>111073745.09</v>
      </c>
      <c r="D19" s="30">
        <v>815489.39</v>
      </c>
      <c r="E19" s="30">
        <v>100181849.31</v>
      </c>
      <c r="F19" s="30">
        <v>10076406.390000001</v>
      </c>
      <c r="G19" s="38"/>
      <c r="H19" s="31">
        <v>1150</v>
      </c>
      <c r="I19" s="30">
        <v>292</v>
      </c>
      <c r="J19" s="30"/>
      <c r="K19" s="38"/>
      <c r="L19" s="37">
        <v>67</v>
      </c>
      <c r="M19" s="30">
        <v>17814223</v>
      </c>
      <c r="N19" s="30">
        <v>227820</v>
      </c>
      <c r="O19" s="30">
        <v>3505842.09</v>
      </c>
      <c r="P19" s="38"/>
      <c r="Q19" s="35">
        <v>16</v>
      </c>
      <c r="R19" s="32">
        <v>415339</v>
      </c>
      <c r="S19" s="32"/>
      <c r="T19" s="30">
        <v>903891.74</v>
      </c>
      <c r="U19" s="38"/>
      <c r="V19" s="30">
        <f t="shared" si="0"/>
        <v>14901479.220000001</v>
      </c>
    </row>
    <row r="20" spans="1:22" x14ac:dyDescent="0.25">
      <c r="A20" s="5">
        <v>43739</v>
      </c>
      <c r="B20" s="5"/>
      <c r="C20" s="30">
        <v>117313415.87</v>
      </c>
      <c r="D20" s="30">
        <v>890937.78</v>
      </c>
      <c r="E20" s="30">
        <v>106348801.77</v>
      </c>
      <c r="F20" s="30">
        <v>10073676.32</v>
      </c>
      <c r="G20" s="38"/>
      <c r="H20" s="31">
        <v>1150</v>
      </c>
      <c r="I20" s="30">
        <v>283</v>
      </c>
      <c r="J20" s="30"/>
      <c r="K20" s="38"/>
      <c r="L20" s="37">
        <v>67</v>
      </c>
      <c r="M20" s="30">
        <v>17989917</v>
      </c>
      <c r="N20" s="30">
        <v>238945</v>
      </c>
      <c r="O20" s="30">
        <v>3294579.9</v>
      </c>
      <c r="P20" s="38"/>
      <c r="Q20" s="35">
        <v>16</v>
      </c>
      <c r="R20" s="32">
        <v>421025</v>
      </c>
      <c r="S20" s="32"/>
      <c r="T20" s="30">
        <v>1001741.05</v>
      </c>
      <c r="U20" s="38"/>
      <c r="V20" s="30">
        <f t="shared" si="0"/>
        <v>14791022.270000001</v>
      </c>
    </row>
    <row r="21" spans="1:22" x14ac:dyDescent="0.25">
      <c r="A21" s="5">
        <v>43770</v>
      </c>
      <c r="B21" s="5"/>
      <c r="C21" s="30">
        <v>120574372.91</v>
      </c>
      <c r="D21" s="30">
        <v>1067003.44</v>
      </c>
      <c r="E21" s="30">
        <v>109366218.09999999</v>
      </c>
      <c r="F21" s="30">
        <v>10141151.369999999</v>
      </c>
      <c r="G21" s="38"/>
      <c r="H21" s="31">
        <v>1150</v>
      </c>
      <c r="I21" s="30">
        <v>294</v>
      </c>
      <c r="J21" s="30"/>
      <c r="K21" s="38"/>
      <c r="L21" s="37">
        <v>67</v>
      </c>
      <c r="M21" s="30">
        <v>19154051</v>
      </c>
      <c r="N21" s="30">
        <v>274940</v>
      </c>
      <c r="O21" s="30">
        <v>3501930.77</v>
      </c>
      <c r="P21" s="38"/>
      <c r="Q21" s="35">
        <v>16</v>
      </c>
      <c r="R21" s="32">
        <v>413725</v>
      </c>
      <c r="S21" s="32"/>
      <c r="T21" s="30">
        <v>549229.61</v>
      </c>
      <c r="U21" s="38"/>
      <c r="V21" s="30">
        <f t="shared" si="0"/>
        <v>14606036.749999998</v>
      </c>
    </row>
    <row r="22" spans="1:22" x14ac:dyDescent="0.25">
      <c r="A22" s="5">
        <v>43800</v>
      </c>
      <c r="B22" s="5"/>
      <c r="C22" s="30">
        <v>111833162.05</v>
      </c>
      <c r="D22" s="30">
        <v>992338.83</v>
      </c>
      <c r="E22" s="30">
        <v>101474928.94</v>
      </c>
      <c r="F22" s="30">
        <v>9365894.2799999993</v>
      </c>
      <c r="G22" s="38"/>
      <c r="H22" s="31">
        <v>1150</v>
      </c>
      <c r="I22" s="30">
        <v>263</v>
      </c>
      <c r="J22" s="30"/>
      <c r="K22" s="38"/>
      <c r="L22" s="37">
        <v>67</v>
      </c>
      <c r="M22" s="30">
        <v>18979533</v>
      </c>
      <c r="N22" s="30">
        <v>279325</v>
      </c>
      <c r="O22" s="30">
        <v>3572527.32</v>
      </c>
      <c r="P22" s="38"/>
      <c r="Q22" s="35">
        <v>16</v>
      </c>
      <c r="R22" s="32">
        <v>421529</v>
      </c>
      <c r="S22" s="32"/>
      <c r="T22" s="30">
        <v>311827.67</v>
      </c>
      <c r="U22" s="38"/>
      <c r="V22" s="30">
        <f t="shared" si="0"/>
        <v>13671778.27</v>
      </c>
    </row>
    <row r="23" spans="1:22" x14ac:dyDescent="0.25">
      <c r="A23" s="5">
        <v>43831</v>
      </c>
      <c r="B23" s="5"/>
      <c r="C23" s="30">
        <v>129348199.06999999</v>
      </c>
      <c r="D23" s="30">
        <v>1365157.57</v>
      </c>
      <c r="E23" s="30">
        <v>117055827.83</v>
      </c>
      <c r="F23" s="30">
        <v>10927213.67</v>
      </c>
      <c r="G23" s="38"/>
      <c r="H23" s="31">
        <v>1150</v>
      </c>
      <c r="I23" s="30">
        <v>307</v>
      </c>
      <c r="J23" s="30"/>
      <c r="K23" s="38"/>
      <c r="L23" s="37">
        <v>67</v>
      </c>
      <c r="M23" s="30">
        <v>19287232</v>
      </c>
      <c r="N23" s="30">
        <v>307080</v>
      </c>
      <c r="O23" s="30">
        <v>3555385.7</v>
      </c>
      <c r="P23" s="38"/>
      <c r="Q23" s="35">
        <v>16</v>
      </c>
      <c r="R23" s="32">
        <v>398776</v>
      </c>
      <c r="S23" s="32"/>
      <c r="T23" s="30">
        <v>778996.55</v>
      </c>
      <c r="U23" s="38"/>
      <c r="V23" s="30">
        <f t="shared" si="0"/>
        <v>15660371.920000002</v>
      </c>
    </row>
    <row r="24" spans="1:22" x14ac:dyDescent="0.25">
      <c r="A24" s="5">
        <v>43862</v>
      </c>
      <c r="B24" s="5"/>
      <c r="C24" s="30">
        <v>132149288.83</v>
      </c>
      <c r="D24" s="30">
        <v>1301893.81</v>
      </c>
      <c r="E24" s="30">
        <v>119937230.11</v>
      </c>
      <c r="F24" s="30">
        <v>10910164.91</v>
      </c>
      <c r="G24" s="38"/>
      <c r="H24" s="31">
        <v>1150</v>
      </c>
      <c r="I24" s="30">
        <v>327</v>
      </c>
      <c r="J24" s="30"/>
      <c r="K24" s="38"/>
      <c r="L24" s="37">
        <v>67</v>
      </c>
      <c r="M24" s="30">
        <v>19207860</v>
      </c>
      <c r="N24" s="30">
        <v>307180</v>
      </c>
      <c r="O24" s="30">
        <v>3992030.15</v>
      </c>
      <c r="P24" s="38"/>
      <c r="Q24" s="35">
        <v>16</v>
      </c>
      <c r="R24" s="32">
        <v>419884</v>
      </c>
      <c r="S24" s="32"/>
      <c r="T24" s="30">
        <v>-38801.5</v>
      </c>
      <c r="U24" s="38"/>
      <c r="V24" s="30">
        <f t="shared" si="0"/>
        <v>15283277.560000001</v>
      </c>
    </row>
    <row r="25" spans="1:22" x14ac:dyDescent="0.25">
      <c r="A25" s="5">
        <v>43891</v>
      </c>
      <c r="B25" s="5"/>
      <c r="C25" s="30">
        <v>61539861.100000001</v>
      </c>
      <c r="D25" s="30">
        <v>562232.92000000004</v>
      </c>
      <c r="E25" s="30">
        <v>55946351.079999998</v>
      </c>
      <c r="F25" s="30">
        <v>5031277.0999999996</v>
      </c>
      <c r="G25" s="38"/>
      <c r="H25" s="31">
        <v>1150</v>
      </c>
      <c r="I25" s="30">
        <v>273.43</v>
      </c>
      <c r="J25" s="30"/>
      <c r="K25" s="38"/>
      <c r="L25" s="37">
        <v>67</v>
      </c>
      <c r="M25" s="30">
        <v>8728168</v>
      </c>
      <c r="N25" s="30">
        <v>110640</v>
      </c>
      <c r="O25" s="30">
        <v>1889755.04</v>
      </c>
      <c r="P25" s="38"/>
      <c r="Q25" s="35">
        <v>16</v>
      </c>
      <c r="R25" s="32">
        <v>156512</v>
      </c>
      <c r="S25" s="32"/>
      <c r="T25" s="30">
        <v>81882.570000000007</v>
      </c>
      <c r="U25" s="38"/>
      <c r="V25" s="30">
        <f t="shared" si="0"/>
        <v>7159426.71</v>
      </c>
    </row>
    <row r="26" spans="1:22" ht="15.75" thickBot="1" x14ac:dyDescent="0.3">
      <c r="A26" s="5" t="s">
        <v>28</v>
      </c>
      <c r="B26" s="5"/>
      <c r="C26" s="39">
        <f>SUM(C14:C25)</f>
        <v>1369957265.2899997</v>
      </c>
      <c r="D26" s="39">
        <f>SUM(D14:D25)</f>
        <v>11499318.380000001</v>
      </c>
      <c r="E26" s="39">
        <f>SUM(E14:E25)</f>
        <v>1240870643.4399998</v>
      </c>
      <c r="F26" s="39">
        <f>SUM(F14:F25)</f>
        <v>117587303.47</v>
      </c>
      <c r="G26" s="39"/>
      <c r="H26" s="40">
        <v>1150</v>
      </c>
      <c r="I26" s="41">
        <v>291.3</v>
      </c>
      <c r="J26" s="42"/>
      <c r="K26" s="30"/>
      <c r="L26" s="43">
        <v>67</v>
      </c>
      <c r="M26" s="39">
        <f>SUM(M14:M25)</f>
        <v>206933493</v>
      </c>
      <c r="N26" s="39">
        <f>SUM(N14:N25)</f>
        <v>2978700</v>
      </c>
      <c r="O26" s="39">
        <f>SUM(O14:O25)</f>
        <v>40411993.859999999</v>
      </c>
      <c r="P26" s="44"/>
      <c r="Q26" s="45">
        <v>16</v>
      </c>
      <c r="R26" s="39">
        <f>SUM(R14:R25)</f>
        <v>4748804</v>
      </c>
      <c r="S26" s="44"/>
      <c r="T26" s="39">
        <f>SUM(T14:T25)</f>
        <v>4328307.7600000007</v>
      </c>
      <c r="U26" s="44"/>
      <c r="V26" s="39">
        <f>SUM(V14:V25)</f>
        <v>167076409.09</v>
      </c>
    </row>
    <row r="27" spans="1:22" ht="10.5" customHeight="1" thickTop="1" x14ac:dyDescent="0.25">
      <c r="A27" s="5"/>
      <c r="B27" s="5"/>
      <c r="C27" s="46"/>
      <c r="D27" s="46"/>
      <c r="E27" s="46"/>
      <c r="F27" s="46"/>
      <c r="G27" s="46"/>
      <c r="H27" s="46"/>
      <c r="I27" s="35"/>
      <c r="J27" s="32"/>
      <c r="K27" s="32"/>
      <c r="L27" s="47"/>
      <c r="M27" s="46"/>
      <c r="N27" s="46"/>
      <c r="O27" s="46"/>
      <c r="P27" s="46"/>
      <c r="Q27" s="47"/>
      <c r="R27" s="46"/>
      <c r="S27" s="46"/>
      <c r="T27" s="46"/>
      <c r="U27" s="36"/>
      <c r="V27" s="36"/>
    </row>
    <row r="28" spans="1:22" s="52" customFormat="1" x14ac:dyDescent="0.25">
      <c r="A28" s="48"/>
      <c r="B28" s="48"/>
      <c r="C28" s="49"/>
      <c r="D28" s="50">
        <f>D26/$C$26</f>
        <v>8.3939248846319047E-3</v>
      </c>
      <c r="E28" s="50">
        <f>E26/$C$26</f>
        <v>0.90577324919498547</v>
      </c>
      <c r="F28" s="50">
        <f>F26/C26</f>
        <v>8.5832825920382633E-2</v>
      </c>
      <c r="G28" s="50"/>
      <c r="H28" s="49"/>
      <c r="I28" s="51"/>
      <c r="J28" s="51"/>
      <c r="K28" s="51"/>
      <c r="L28" s="49"/>
      <c r="M28" s="49"/>
      <c r="N28" s="49"/>
      <c r="O28" s="49">
        <f>O26/$M$26</f>
        <v>0.1952897680995507</v>
      </c>
      <c r="P28" s="49"/>
      <c r="Q28" s="49"/>
      <c r="R28" s="49"/>
      <c r="S28" s="49"/>
      <c r="T28" s="49"/>
      <c r="U28" s="51"/>
      <c r="V28" s="51"/>
    </row>
    <row r="29" spans="1:22" s="52" customFormat="1" x14ac:dyDescent="0.25">
      <c r="A29" s="48"/>
      <c r="B29" s="48"/>
      <c r="C29" s="49"/>
      <c r="D29" s="49"/>
      <c r="E29" s="49"/>
      <c r="F29" s="49"/>
      <c r="G29" s="49"/>
      <c r="H29" s="49"/>
      <c r="I29" s="51"/>
      <c r="J29" s="51"/>
      <c r="K29" s="51"/>
      <c r="L29" s="49"/>
      <c r="M29" s="49"/>
      <c r="N29" s="49"/>
      <c r="O29" s="49"/>
      <c r="P29" s="49"/>
      <c r="Q29" s="49"/>
      <c r="R29" s="49"/>
      <c r="S29" s="49"/>
      <c r="T29" s="49"/>
      <c r="U29" s="51"/>
      <c r="V29" s="51"/>
    </row>
    <row r="30" spans="1:22" s="52" customFormat="1" x14ac:dyDescent="0.25">
      <c r="A30" s="121" t="s">
        <v>29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3"/>
    </row>
    <row r="31" spans="1:22" s="52" customFormat="1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4"/>
      <c r="V31" s="54"/>
    </row>
    <row r="32" spans="1:22" s="52" customFormat="1" x14ac:dyDescent="0.25">
      <c r="A32" s="53"/>
      <c r="B32" s="53"/>
      <c r="C32" s="53"/>
      <c r="D32" s="53"/>
      <c r="E32" s="53"/>
      <c r="F32" s="53"/>
      <c r="G32" s="53"/>
      <c r="H32" s="124" t="s">
        <v>30</v>
      </c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6"/>
      <c r="U32" s="104"/>
      <c r="V32" s="104"/>
    </row>
    <row r="33" spans="1:23" s="60" customFormat="1" ht="12" x14ac:dyDescent="0.2">
      <c r="A33" s="55"/>
      <c r="B33" s="55"/>
      <c r="C33" s="55"/>
      <c r="D33" s="55"/>
      <c r="E33" s="55"/>
      <c r="F33" s="55" t="s">
        <v>31</v>
      </c>
      <c r="G33" s="55"/>
      <c r="H33" s="56" t="s">
        <v>32</v>
      </c>
      <c r="I33" s="56" t="s">
        <v>33</v>
      </c>
      <c r="J33" s="56" t="s">
        <v>34</v>
      </c>
      <c r="K33" s="57"/>
      <c r="L33" s="57"/>
      <c r="M33" s="58"/>
      <c r="N33" s="58"/>
      <c r="O33" s="58"/>
      <c r="P33" s="58"/>
      <c r="Q33" s="58"/>
      <c r="R33" s="59"/>
      <c r="S33" s="59"/>
      <c r="T33" s="59"/>
      <c r="U33" s="55"/>
      <c r="V33" s="55"/>
    </row>
    <row r="34" spans="1:23" s="60" customFormat="1" ht="12.75" customHeight="1" x14ac:dyDescent="0.2">
      <c r="A34" s="55"/>
      <c r="B34" s="55"/>
      <c r="C34" s="18" t="s">
        <v>35</v>
      </c>
      <c r="D34" s="55" t="s">
        <v>11</v>
      </c>
      <c r="E34" s="55" t="s">
        <v>36</v>
      </c>
      <c r="F34" s="55" t="s">
        <v>37</v>
      </c>
      <c r="G34" s="55"/>
      <c r="H34" s="56" t="s">
        <v>38</v>
      </c>
      <c r="I34" s="56" t="s">
        <v>39</v>
      </c>
      <c r="J34" s="56" t="s">
        <v>40</v>
      </c>
      <c r="K34" s="57"/>
      <c r="L34" s="116" t="s">
        <v>41</v>
      </c>
      <c r="M34" s="116"/>
      <c r="N34" s="116"/>
      <c r="O34" s="116"/>
      <c r="P34" s="116"/>
      <c r="Q34" s="116"/>
      <c r="R34" s="116"/>
      <c r="S34" s="116"/>
      <c r="T34" s="116"/>
      <c r="U34" s="117"/>
      <c r="V34" s="117"/>
    </row>
    <row r="35" spans="1:23" s="60" customFormat="1" ht="12" x14ac:dyDescent="0.2">
      <c r="A35" s="55"/>
      <c r="B35" s="55"/>
      <c r="C35" s="27" t="s">
        <v>42</v>
      </c>
      <c r="D35" s="61" t="s">
        <v>43</v>
      </c>
      <c r="E35" s="61" t="s">
        <v>44</v>
      </c>
      <c r="F35" s="61" t="s">
        <v>45</v>
      </c>
      <c r="G35" s="59"/>
      <c r="H35" s="62" t="s">
        <v>46</v>
      </c>
      <c r="I35" s="62" t="s">
        <v>40</v>
      </c>
      <c r="J35" s="62" t="s">
        <v>47</v>
      </c>
      <c r="K35" s="99"/>
      <c r="L35" s="99" t="s">
        <v>48</v>
      </c>
      <c r="M35" s="99" t="s">
        <v>49</v>
      </c>
      <c r="N35" s="99" t="s">
        <v>50</v>
      </c>
      <c r="O35" s="99" t="s">
        <v>51</v>
      </c>
      <c r="P35" s="64"/>
      <c r="Q35" s="99" t="s">
        <v>52</v>
      </c>
      <c r="R35" s="65" t="s">
        <v>53</v>
      </c>
      <c r="S35" s="65"/>
      <c r="T35" s="65" t="s">
        <v>54</v>
      </c>
      <c r="U35" s="59"/>
      <c r="V35" s="59"/>
    </row>
    <row r="36" spans="1:23" s="52" customFormat="1" x14ac:dyDescent="0.25">
      <c r="A36" s="5">
        <v>43556</v>
      </c>
      <c r="B36" s="48"/>
      <c r="C36" s="44">
        <f>(F14*0.55)+(O14+R14+T14)*0.9</f>
        <v>9062632.5175000001</v>
      </c>
      <c r="D36" s="44">
        <f>(F14*0.45)+(O14+R14+T14)*0.1</f>
        <v>4898491.5025000004</v>
      </c>
      <c r="E36" s="30">
        <v>8770.08</v>
      </c>
      <c r="F36" s="30">
        <v>0</v>
      </c>
      <c r="G36" s="51"/>
      <c r="H36" s="44">
        <f>F14*0.45*0.8+(O14+R14)*0.1*0.8+((E36+F36)*0.8)</f>
        <v>3925809.2660000003</v>
      </c>
      <c r="I36" s="44">
        <f>(F14*0.45*0.05+(O14+R14)*0.1*0.05+((E36+F36)*0.05))</f>
        <v>245363.07912500002</v>
      </c>
      <c r="J36" s="44">
        <f>F14*0.45*0.05+(O14+R14)*0.1*0.05+((E36+F36)*0.05)</f>
        <v>245363.07912500002</v>
      </c>
      <c r="K36" s="30"/>
      <c r="L36" s="44">
        <f>(F14*0.45*0.1+(O14+R14)*0.1*0.1)*304204/884955+((E36+F36)*0.1*304204/884955)</f>
        <v>168687.51546042797</v>
      </c>
      <c r="M36" s="44">
        <f>(F14*0.45*0.1+(O14+R14)*0.1*0.1)*55531/884955+((E36+F36)*0.1*55531/884955)</f>
        <v>30793.107326113477</v>
      </c>
      <c r="N36" s="44">
        <f>(F14*0.45*0.1+(O14+R14)*0.1*0.1)*50219/884955+((E36+F36)*0.1*50219/884955)</f>
        <v>27847.491613875005</v>
      </c>
      <c r="O36" s="44">
        <f>(F14*0.45*0.1+(O14+R14)*0.1*0.1)*159429/884955+((E36+F36)*0.1*159429/884955)</f>
        <v>88406.733318235682</v>
      </c>
      <c r="P36" s="66"/>
      <c r="Q36" s="44">
        <f>(F14*0.45*0.1+(O14+R14)*0.1*0.1)*219607/884955+((E36+F36)*0.1*219607/884955)</f>
        <v>121776.69987152766</v>
      </c>
      <c r="R36" s="44">
        <f>(F14*0.45*0.1+(O14+R14)*0.1*0.1)*32749/884955+((E36+F36)*0.1*32749/884955)</f>
        <v>18160.00921688589</v>
      </c>
      <c r="S36" s="44"/>
      <c r="T36" s="44">
        <f>(F14*0.45*0.1+(O14+R14+T14)*0.1*0.1)*63216/884955+((E36+F36)*0.1*63216/884955)</f>
        <v>35054.601442934392</v>
      </c>
      <c r="U36" s="30"/>
      <c r="V36" s="44"/>
    </row>
    <row r="37" spans="1:23" s="52" customFormat="1" x14ac:dyDescent="0.25">
      <c r="A37" s="5">
        <v>43586</v>
      </c>
      <c r="B37" s="48"/>
      <c r="C37" s="44">
        <f t="shared" ref="C37:C46" si="1">(F15*0.55)+(O15+R15+T15)*0.9</f>
        <v>8780649.307500001</v>
      </c>
      <c r="D37" s="44">
        <f t="shared" ref="D37:D46" si="2">(F15*0.45)+(O15+R15+T15)*0.1</f>
        <v>4954438.8425000003</v>
      </c>
      <c r="E37" s="30">
        <v>10031.17</v>
      </c>
      <c r="F37" s="30">
        <v>45000</v>
      </c>
      <c r="G37" s="37"/>
      <c r="H37" s="44">
        <f t="shared" ref="H37:H38" si="3">F15*0.45*0.8+(O15+R15)*0.1*0.8+((E37+F37)*0.8)</f>
        <v>4007576.0100000002</v>
      </c>
      <c r="I37" s="44">
        <f t="shared" ref="I37:I38" si="4">(F15*0.45*0.05+(O15+R15)*0.1*0.05+((E37+F37)*0.05))</f>
        <v>250473.50062500002</v>
      </c>
      <c r="J37" s="44">
        <f t="shared" ref="J37:J38" si="5">F15*0.45*0.05+(O15+R15)*0.1*0.05+((E37+F37)*0.05)</f>
        <v>250473.50062500002</v>
      </c>
      <c r="K37" s="30"/>
      <c r="L37" s="44">
        <f t="shared" ref="L37:L38" si="6">(F15*0.45*0.1+(O15+R15)*0.1*0.1)*304204/884955+((E37+F37)*0.1*304204/884955)</f>
        <v>172200.9385429259</v>
      </c>
      <c r="M37" s="44">
        <f t="shared" ref="M37:M38" si="7">(F15*0.45*0.1+(O15+R15)*0.1*0.1)*55531/884955+((E37+F37)*0.1*55531/884955)</f>
        <v>31434.466076143701</v>
      </c>
      <c r="N37" s="44">
        <f t="shared" ref="N37:N38" si="8">(F15*0.45*0.1+(O15+R15)*0.1*0.1)*50219/884955+((E37+F37)*0.1*50219/884955)</f>
        <v>28427.499088398563</v>
      </c>
      <c r="O37" s="44">
        <f t="shared" ref="O37:O38" si="9">(F15*0.45*0.1+(O15+R15)*0.1*0.1)*159429/884955+((E37+F37)*0.1*159429/884955)</f>
        <v>90248.06850324168</v>
      </c>
      <c r="P37" s="44"/>
      <c r="Q37" s="44">
        <f t="shared" ref="Q37:Q38" si="10">(F15*0.45*0.1+(O15+R15)*0.1*0.1)*219607/884955+((E37+F37)*0.1*219607/884955)</f>
        <v>124313.06462306982</v>
      </c>
      <c r="R37" s="44">
        <f t="shared" ref="R37:R38" si="11">(F15*0.45*0.1+(O15+R15)*0.1*0.1)*32749/884955+((E37+F37)*0.1*32749/884955)</f>
        <v>18538.245836156922</v>
      </c>
      <c r="S37" s="44"/>
      <c r="T37" s="44">
        <f t="shared" ref="T37:T41" si="12">(F15*0.45*0.1+(O15+R15+T15)*0.1*0.1)*63216/884955+((E37+F37)*0.1*63216/884955)</f>
        <v>35784.718580063389</v>
      </c>
      <c r="U37" s="30"/>
      <c r="V37" s="44"/>
    </row>
    <row r="38" spans="1:23" s="52" customFormat="1" x14ac:dyDescent="0.25">
      <c r="A38" s="5">
        <v>43617</v>
      </c>
      <c r="B38" s="48"/>
      <c r="C38" s="44">
        <f t="shared" si="1"/>
        <v>9030050.8805</v>
      </c>
      <c r="D38" s="44">
        <f t="shared" si="2"/>
        <v>4888287.9994999999</v>
      </c>
      <c r="E38" s="30">
        <v>7782.27</v>
      </c>
      <c r="F38" s="30">
        <v>0</v>
      </c>
      <c r="G38" s="37"/>
      <c r="H38" s="44">
        <f t="shared" si="3"/>
        <v>3916856.2156000002</v>
      </c>
      <c r="I38" s="44">
        <f t="shared" si="4"/>
        <v>244803.51347500001</v>
      </c>
      <c r="J38" s="44">
        <f t="shared" si="5"/>
        <v>244803.51347500001</v>
      </c>
      <c r="K38" s="30"/>
      <c r="L38" s="44">
        <f t="shared" si="6"/>
        <v>168302.81316710773</v>
      </c>
      <c r="M38" s="44">
        <f t="shared" si="7"/>
        <v>30722.881743772788</v>
      </c>
      <c r="N38" s="44">
        <f t="shared" si="8"/>
        <v>27783.983690020457</v>
      </c>
      <c r="O38" s="44">
        <f t="shared" si="9"/>
        <v>88205.116304909912</v>
      </c>
      <c r="P38" s="44"/>
      <c r="Q38" s="44">
        <f t="shared" si="10"/>
        <v>121498.98058930528</v>
      </c>
      <c r="R38" s="44">
        <f t="shared" si="11"/>
        <v>18118.594194716738</v>
      </c>
      <c r="S38" s="44"/>
      <c r="T38" s="44">
        <f t="shared" si="12"/>
        <v>34974.657260167129</v>
      </c>
      <c r="U38" s="30"/>
      <c r="V38" s="44"/>
    </row>
    <row r="39" spans="1:23" s="52" customFormat="1" x14ac:dyDescent="0.25">
      <c r="A39" s="5">
        <v>43647</v>
      </c>
      <c r="B39" s="48"/>
      <c r="C39" s="44">
        <f t="shared" si="1"/>
        <v>9151446.1420000009</v>
      </c>
      <c r="D39" s="44">
        <f t="shared" si="2"/>
        <v>4938066.4579999996</v>
      </c>
      <c r="E39" s="30">
        <v>6615.47</v>
      </c>
      <c r="F39" s="30">
        <v>0</v>
      </c>
      <c r="G39" s="37"/>
      <c r="H39" s="44">
        <f>F17*0.45*0.8+(O17+R17+T17)*0.1*0.8+((E39+F39)*0.8)</f>
        <v>3955745.5423999997</v>
      </c>
      <c r="I39" s="44">
        <f>(F17*0.45*0.05+(O17+R17+T17)*0.1*0.05+((E39+F39)*0.05))</f>
        <v>247234.09639999998</v>
      </c>
      <c r="J39" s="44">
        <f>F17*0.45*0.05+(O17+R17+T17)*0.1*0.05+((E39+F39)*0.05)</f>
        <v>247234.09639999998</v>
      </c>
      <c r="K39" s="30"/>
      <c r="L39" s="44">
        <f>(F17*0.45*0.1+(O17+R17+T17)*0.1*0.1)*304204/884955+((E39+F39)*0.1*304204/884955)</f>
        <v>169973.84287622667</v>
      </c>
      <c r="M39" s="44">
        <f>(F17*0.45*0.1+(O17+R17+T17)*0.1*0.1)*55531/884955+((E39+F39)*0.1*55531/884955)</f>
        <v>31027.920305978041</v>
      </c>
      <c r="N39" s="44">
        <f>(F17*0.45*0.1+(O17+R17+T17)*0.1*0.1)*50219/884955+((E39+F39)*0.1*50219/884955)</f>
        <v>28059.842787738584</v>
      </c>
      <c r="O39" s="44">
        <f>(F17*0.45*0.1+(O17+R17+T17)*0.1*0.1)*159429/884955+((E39+F39)*0.1*159429/884955)</f>
        <v>89080.879264947012</v>
      </c>
      <c r="P39" s="44"/>
      <c r="Q39" s="44">
        <f>(F17*0.45*0.1+(O17+R17+T17)*0.1*0.1)*219607/884955+((E39+F39)*0.1*219607/884955)</f>
        <v>122705.3086498518</v>
      </c>
      <c r="R39" s="44">
        <f>(F17*0.45*0.1+(O17+R17+T17)*0.1*0.1)*32749/884955+((E39+F39)*0.1*32749/884955)</f>
        <v>18298.488449703313</v>
      </c>
      <c r="S39" s="44"/>
      <c r="T39" s="44">
        <f t="shared" si="12"/>
        <v>35321.910465554516</v>
      </c>
      <c r="U39" s="38"/>
      <c r="V39" s="68">
        <f t="shared" ref="V39:V47" si="13">(F17*0.45*0.1+(O17+R17)*0.1*0.1)*63216/884955+((E39+F39)*0.1*63216/884955)</f>
        <v>35111.716263690694</v>
      </c>
    </row>
    <row r="40" spans="1:23" s="52" customFormat="1" x14ac:dyDescent="0.25">
      <c r="A40" s="5">
        <v>43678</v>
      </c>
      <c r="B40" s="48"/>
      <c r="C40" s="44">
        <f t="shared" si="1"/>
        <v>10006404.103000002</v>
      </c>
      <c r="D40" s="44">
        <f t="shared" si="2"/>
        <v>5292548.6370000001</v>
      </c>
      <c r="E40" s="30">
        <v>5422.35</v>
      </c>
      <c r="F40" s="30">
        <v>0</v>
      </c>
      <c r="G40" s="37"/>
      <c r="H40" s="44">
        <f t="shared" ref="H40:H41" si="14">F18*0.45*0.8+(O18+R18+T18)*0.1*0.8+((E40+F40)*0.8)</f>
        <v>4238376.7895999998</v>
      </c>
      <c r="I40" s="44">
        <f t="shared" ref="I40:I41" si="15">(F18*0.45*0.05+(O18+R18+T18)*0.1*0.05+((E40+F40)*0.05))</f>
        <v>264898.54934999999</v>
      </c>
      <c r="J40" s="44">
        <f t="shared" ref="J40:J41" si="16">F18*0.45*0.05+(O18+R18+T18)*0.1*0.05+((E40+F40)*0.05)</f>
        <v>264898.54934999999</v>
      </c>
      <c r="K40" s="30"/>
      <c r="L40" s="44">
        <f t="shared" ref="L40:L41" si="17">(F18*0.45*0.1+(O18+R18+T18)*0.1*0.1)*304204/884955+((E40+F40)*0.1*304204/884955)</f>
        <v>182118.18297307182</v>
      </c>
      <c r="M40" s="44">
        <f t="shared" ref="M40:M41" si="18">(F18*0.45*0.1+(O18+R18+T18)*0.1*0.1)*55531/884955+((E40+F40)*0.1*55531/884955)</f>
        <v>33244.812095428242</v>
      </c>
      <c r="N40" s="44">
        <f t="shared" ref="N40:N41" si="19">(F18*0.45*0.1+(O18+R18+T18)*0.1*0.1)*50219/884955+((E40+F40)*0.1*50219/884955)</f>
        <v>30064.67051953523</v>
      </c>
      <c r="O40" s="44">
        <f t="shared" ref="O40:O41" si="20">(F18*0.45*0.1+(O18+R18+T18)*0.1*0.1)*159429/884955+((E40+F40)*0.1*159429/884955)</f>
        <v>95445.555591688055</v>
      </c>
      <c r="P40" s="44"/>
      <c r="Q40" s="44">
        <f t="shared" ref="Q40:Q41" si="21">(F18*0.45*0.1+(O18+R18+T18)*0.1*0.1)*219607/884955+((E40+F40)*0.1*219607/884955)</f>
        <v>131472.39289479228</v>
      </c>
      <c r="R40" s="44">
        <f t="shared" ref="R40:R41" si="22">(F18*0.45*0.1+(O18+R18+T18)*0.1*0.1)*32749/884955+((E40+F40)*0.1*32749/884955)</f>
        <v>19605.884124420223</v>
      </c>
      <c r="S40" s="44"/>
      <c r="T40" s="44">
        <f t="shared" si="12"/>
        <v>37845.600501064117</v>
      </c>
      <c r="U40" s="38"/>
      <c r="V40" s="68">
        <f t="shared" si="13"/>
        <v>37527.510608650613</v>
      </c>
      <c r="W40" s="67"/>
    </row>
    <row r="41" spans="1:23" s="52" customFormat="1" x14ac:dyDescent="0.25">
      <c r="A41" s="5">
        <v>43709</v>
      </c>
      <c r="B41" s="48"/>
      <c r="C41" s="44">
        <f t="shared" si="1"/>
        <v>9884589.0615000017</v>
      </c>
      <c r="D41" s="44">
        <f t="shared" si="2"/>
        <v>5016890.1584999999</v>
      </c>
      <c r="E41" s="30">
        <v>5191.8</v>
      </c>
      <c r="F41" s="30">
        <v>6.1</v>
      </c>
      <c r="G41" s="38"/>
      <c r="H41" s="44">
        <f t="shared" si="14"/>
        <v>4017670.4468</v>
      </c>
      <c r="I41" s="44">
        <f t="shared" si="15"/>
        <v>251104.402925</v>
      </c>
      <c r="J41" s="44">
        <f t="shared" si="16"/>
        <v>251104.402925</v>
      </c>
      <c r="K41" s="30"/>
      <c r="L41" s="44">
        <f t="shared" si="17"/>
        <v>172634.68489899873</v>
      </c>
      <c r="M41" s="44">
        <f t="shared" si="18"/>
        <v>31513.644419949433</v>
      </c>
      <c r="N41" s="44">
        <f t="shared" si="19"/>
        <v>28499.103367946562</v>
      </c>
      <c r="O41" s="44">
        <f t="shared" si="20"/>
        <v>90475.388813961908</v>
      </c>
      <c r="P41" s="44"/>
      <c r="Q41" s="44">
        <f t="shared" si="21"/>
        <v>124626.18915798086</v>
      </c>
      <c r="R41" s="44">
        <f t="shared" si="22"/>
        <v>18584.940683742847</v>
      </c>
      <c r="S41" s="44"/>
      <c r="T41" s="44">
        <f t="shared" si="12"/>
        <v>35874.854507419703</v>
      </c>
      <c r="U41" s="38"/>
      <c r="V41" s="68">
        <f t="shared" si="13"/>
        <v>35229.16720992051</v>
      </c>
    </row>
    <row r="42" spans="1:23" s="52" customFormat="1" x14ac:dyDescent="0.25">
      <c r="A42" s="5">
        <v>43739</v>
      </c>
      <c r="B42" s="48"/>
      <c r="C42" s="44">
        <f t="shared" ref="C42" si="23">(F20*0.55)+(O20+R20+T20)*0.9</f>
        <v>9786133.3310000002</v>
      </c>
      <c r="D42" s="44">
        <f t="shared" ref="D42" si="24">(F20*0.45)+(O20+R20+T20)*0.1</f>
        <v>5004888.9390000002</v>
      </c>
      <c r="E42" s="30">
        <v>5174.21</v>
      </c>
      <c r="F42" s="30">
        <v>0</v>
      </c>
      <c r="G42" s="38"/>
      <c r="H42" s="44">
        <f t="shared" ref="H42" si="25">F20*0.45*0.8+(O20+R20+T20)*0.1*0.8+((E42+F42)*0.8)</f>
        <v>4008050.5192000004</v>
      </c>
      <c r="I42" s="44">
        <f t="shared" ref="I42" si="26">(F20*0.45*0.05+(O20+R20+T20)*0.1*0.05+((E42+F42)*0.05))</f>
        <v>250503.15745000003</v>
      </c>
      <c r="J42" s="44">
        <f t="shared" ref="J42" si="27">F20*0.45*0.05+(O20+R20+T20)*0.1*0.05+((E42+F42)*0.05)</f>
        <v>250503.15745000003</v>
      </c>
      <c r="K42" s="30"/>
      <c r="L42" s="44">
        <f t="shared" ref="L42" si="28">(F20*0.45*0.1+(O20+R20+T20)*0.1*0.1)*304204/884955+((E42+F42)*0.1*304204/884955)</f>
        <v>172221.32765828728</v>
      </c>
      <c r="M42" s="44">
        <f t="shared" ref="M42" si="29">(F20*0.45*0.1+(O20+R20+T20)*0.1*0.1)*55531/884955+((E42+F42)*0.1*55531/884955)</f>
        <v>31438.188012624261</v>
      </c>
      <c r="N42" s="44">
        <f t="shared" ref="N42" si="30">(F20*0.45*0.1+(O20+R20+T20)*0.1*0.1)*50219/884955+((E42+F42)*0.1*50219/884955)</f>
        <v>28430.86499083355</v>
      </c>
      <c r="O42" s="44">
        <f t="shared" ref="O42" si="31">(F20*0.45*0.1+(O20+R20+T20)*0.1*0.1)*159429/884955+((E42+F42)*0.1*159429/884955)</f>
        <v>90258.754149298125</v>
      </c>
      <c r="P42" s="44"/>
      <c r="Q42" s="44">
        <f t="shared" ref="Q42" si="32">(F20*0.45*0.1+(O20+R20+T20)*0.1*0.1)*219607/884955+((E42+F42)*0.1*219607/884955)</f>
        <v>124327.78366837218</v>
      </c>
      <c r="R42" s="44">
        <f t="shared" ref="R42" si="33">(F20*0.45*0.1+(O20+R20+T20)*0.1*0.1)*32749/884955+((E42+F42)*0.1*32749/884955)</f>
        <v>18540.440820900614</v>
      </c>
      <c r="S42" s="44"/>
      <c r="T42" s="44">
        <f t="shared" ref="T42" si="34">(F20*0.45*0.1+(O20+R20+T20)*0.1*0.1)*63216/884955+((E42+F42)*0.1*63216/884955)</f>
        <v>35788.955599684057</v>
      </c>
      <c r="U42" s="38"/>
      <c r="V42" s="68">
        <f t="shared" si="13"/>
        <v>35073.37048838687</v>
      </c>
    </row>
    <row r="43" spans="1:23" s="52" customFormat="1" x14ac:dyDescent="0.25">
      <c r="A43" s="5">
        <v>43770</v>
      </c>
      <c r="B43" s="48"/>
      <c r="C43" s="44">
        <f t="shared" ref="C43" si="35">(F21*0.55)+(O21+R21+T21)*0.9</f>
        <v>9596030.0954999998</v>
      </c>
      <c r="D43" s="44">
        <f t="shared" ref="D43" si="36">(F21*0.45)+(O21+R21+T21)*0.1</f>
        <v>5010006.6544999992</v>
      </c>
      <c r="E43" s="30">
        <v>6176.02</v>
      </c>
      <c r="F43" s="30">
        <v>1000</v>
      </c>
      <c r="G43" s="38"/>
      <c r="H43" s="44">
        <f t="shared" ref="H43" si="37">F21*0.45*0.8+(O21+R21+T21)*0.1*0.8+((E43+F43)*0.8)</f>
        <v>4013746.1395999999</v>
      </c>
      <c r="I43" s="44">
        <f t="shared" ref="I43" si="38">(F21*0.45*0.05+(O21+R21+T21)*0.1*0.05+((E43+F43)*0.05))</f>
        <v>250859.13372499999</v>
      </c>
      <c r="J43" s="44">
        <f t="shared" ref="J43" si="39">F21*0.45*0.05+(O21+R21+T21)*0.1*0.05+((E43+F43)*0.05)</f>
        <v>250859.13372499999</v>
      </c>
      <c r="K43" s="30"/>
      <c r="L43" s="44">
        <f t="shared" ref="L43" si="40">(F21*0.45*0.1+(O21+R21+T21)*0.1*0.1)*304204/884955+((E43+F43)*0.1*304204/884955)</f>
        <v>172466.06192558919</v>
      </c>
      <c r="M43" s="44">
        <f t="shared" ref="M43" si="41">(F21*0.45*0.1+(O21+R21+T21)*0.1*0.1)*55531/884955+((E43+F43)*0.1*55531/884955)</f>
        <v>31482.86309446915</v>
      </c>
      <c r="N43" s="44">
        <f t="shared" ref="N43" si="42">(F21*0.45*0.1+(O21+R21+T21)*0.1*0.1)*50219/884955+((E43+F43)*0.1*50219/884955)</f>
        <v>28471.266531147397</v>
      </c>
      <c r="O43" s="44">
        <f t="shared" ref="O43" si="43">(F21*0.45*0.1+(O21+R21+T21)*0.1*0.1)*159429/884955+((E43+F43)*0.1*159429/884955)</f>
        <v>90387.015906216751</v>
      </c>
      <c r="P43" s="44"/>
      <c r="Q43" s="44">
        <f t="shared" ref="Q43" si="44">(F21*0.45*0.1+(O21+R21+T21)*0.1*0.1)*219607/884955+((E43+F43)*0.1*219607/884955)</f>
        <v>124504.45905146832</v>
      </c>
      <c r="R43" s="44">
        <f t="shared" ref="R43" si="45">(F21*0.45*0.1+(O21+R21+T21)*0.1*0.1)*32749/884955+((E43+F43)*0.1*32749/884955)</f>
        <v>18566.787622783137</v>
      </c>
      <c r="S43" s="44"/>
      <c r="T43" s="44">
        <f t="shared" ref="T43" si="46">(F21*0.45*0.1+(O21+R21+T21)*0.1*0.1)*63216/884955+((E43+F43)*0.1*63216/884955)</f>
        <v>35839.813318326007</v>
      </c>
      <c r="U43" s="38"/>
      <c r="V43" s="68">
        <f t="shared" si="13"/>
        <v>35447.475865848093</v>
      </c>
    </row>
    <row r="44" spans="1:23" s="52" customFormat="1" x14ac:dyDescent="0.25">
      <c r="A44" s="5">
        <v>43800</v>
      </c>
      <c r="B44" s="48"/>
      <c r="C44" s="44">
        <f t="shared" ref="C44:C45" si="47">(F22*0.55)+(O22+R22+T22)*0.9</f>
        <v>9026537.4450000003</v>
      </c>
      <c r="D44" s="44">
        <f t="shared" ref="D44:D45" si="48">(F22*0.45)+(O22+R22+T22)*0.1</f>
        <v>4645240.8250000002</v>
      </c>
      <c r="E44" s="30">
        <v>4672.83</v>
      </c>
      <c r="F44" s="30">
        <v>-438.5</v>
      </c>
      <c r="G44" s="38"/>
      <c r="H44" s="44">
        <f t="shared" ref="H44" si="49">F22*0.45*0.8+(O22+R22+T22)*0.1*0.8+((E44+F44)*0.8)</f>
        <v>3719580.1240000003</v>
      </c>
      <c r="I44" s="44">
        <f t="shared" ref="I44" si="50">(F22*0.45*0.05+(O22+R22+T22)*0.1*0.05+((E44+F44)*0.05))</f>
        <v>232473.75775000002</v>
      </c>
      <c r="J44" s="44">
        <f t="shared" ref="J44" si="51">F22*0.45*0.05+(O22+R22+T22)*0.1*0.05+((E44+F44)*0.05)</f>
        <v>232473.75775000002</v>
      </c>
      <c r="K44" s="30"/>
      <c r="L44" s="44">
        <f t="shared" ref="L44" si="52">(F22*0.45*0.1+(O22+R22+T22)*0.1*0.1)*304204/884955+((E44+F44)*0.1*304204/884955)</f>
        <v>159826.08607800625</v>
      </c>
      <c r="M44" s="44">
        <f t="shared" ref="M44" si="53">(F22*0.45*0.1+(O22+R22+T22)*0.1*0.1)*55531/884955+((E44+F44)*0.1*55531/884955)</f>
        <v>29175.495345221509</v>
      </c>
      <c r="N44" s="44">
        <f t="shared" ref="N44" si="54">(F22*0.45*0.1+(O22+R22+T22)*0.1*0.1)*50219/884955+((E44+F44)*0.1*50219/884955)</f>
        <v>26384.617614335759</v>
      </c>
      <c r="O44" s="44">
        <f t="shared" ref="O44" si="55">(F22*0.45*0.1+(O22+R22+T22)*0.1*0.1)*159429/884955+((E44+F44)*0.1*159429/884955)</f>
        <v>83762.583915170268</v>
      </c>
      <c r="P44" s="44"/>
      <c r="Q44" s="44">
        <f t="shared" ref="Q44" si="56">(F22*0.45*0.1+(O22+R22+T22)*0.1*0.1)*219607/884955+((E44+F44)*0.1*219607/884955)</f>
        <v>115379.57188377769</v>
      </c>
      <c r="R44" s="44">
        <f t="shared" ref="R44" si="57">(F22*0.45*0.1+(O22+R22+T22)*0.1*0.1)*32749/884955+((E44+F44)*0.1*32749/884955)</f>
        <v>17206.034414302987</v>
      </c>
      <c r="S44" s="44"/>
      <c r="T44" s="44">
        <f t="shared" ref="T44" si="58">(F22*0.45*0.1+(O22+R22+T22)*0.1*0.1)*63216/884955+((E44+F44)*0.1*63216/884955)</f>
        <v>33213.126249185552</v>
      </c>
      <c r="U44" s="38"/>
      <c r="V44" s="68">
        <f t="shared" si="13"/>
        <v>32990.374832596906</v>
      </c>
    </row>
    <row r="45" spans="1:23" s="52" customFormat="1" x14ac:dyDescent="0.25">
      <c r="A45" s="5">
        <v>43831</v>
      </c>
      <c r="B45" s="48"/>
      <c r="C45" s="44">
        <f t="shared" si="47"/>
        <v>10269809.943500001</v>
      </c>
      <c r="D45" s="44">
        <f t="shared" si="48"/>
        <v>5390561.9764999999</v>
      </c>
      <c r="E45" s="30">
        <v>80947.570000000007</v>
      </c>
      <c r="F45" s="30">
        <v>0</v>
      </c>
      <c r="G45" s="38"/>
      <c r="H45" s="44">
        <f t="shared" ref="H45" si="59">F23*0.45*0.8+(O23+R23+T23)*0.1*0.8+((E45+F45)*0.8)</f>
        <v>4377207.6371999998</v>
      </c>
      <c r="I45" s="44">
        <f t="shared" ref="I45" si="60">(F23*0.45*0.05+(O23+R23+T23)*0.1*0.05+((E45+F45)*0.05))</f>
        <v>273575.47732499999</v>
      </c>
      <c r="J45" s="44">
        <f t="shared" ref="J45" si="61">F23*0.45*0.05+(O23+R23+T23)*0.1*0.05+((E45+F45)*0.05)</f>
        <v>273575.47732499999</v>
      </c>
      <c r="K45" s="30"/>
      <c r="L45" s="44">
        <f t="shared" ref="L45" si="62">(F23*0.45*0.1+(O23+R23+T23)*0.1*0.1)*304204/884955+((E45+F45)*0.1*304204/884955)</f>
        <v>188083.5850504812</v>
      </c>
      <c r="M45" s="44">
        <f t="shared" ref="M45" si="63">(F23*0.45*0.1+(O23+R23+T23)*0.1*0.1)*55531/884955+((E45+F45)*0.1*55531/884955)</f>
        <v>34333.76800251894</v>
      </c>
      <c r="N45" s="44">
        <f t="shared" ref="N45" si="64">(F23*0.45*0.1+(O23+R23+T23)*0.1*0.1)*50219/884955+((E45+F45)*0.1*50219/884955)</f>
        <v>31049.458776512198</v>
      </c>
      <c r="O45" s="44">
        <f t="shared" ref="O45" si="65">(F23*0.45*0.1+(O23+R23+T23)*0.1*0.1)*159429/884955+((E45+F45)*0.1*159429/884955)</f>
        <v>98571.938176398631</v>
      </c>
      <c r="P45" s="44"/>
      <c r="Q45" s="44">
        <f t="shared" ref="Q45" si="66">(F23*0.45*0.1+(O23+R23+T23)*0.1*0.1)*219607/884955+((E45+F45)*0.1*219607/884955)</f>
        <v>135778.85847056919</v>
      </c>
      <c r="R45" s="44">
        <f t="shared" ref="R45" si="67">(F23*0.45*0.1+(O23+R23+T23)*0.1*0.1)*32749/884955+((E45+F45)*0.1*32749/884955)</f>
        <v>20248.087884505825</v>
      </c>
      <c r="S45" s="44"/>
      <c r="T45" s="44">
        <f t="shared" ref="T45" si="68">(F23*0.45*0.1+(O23+R23+T23)*0.1*0.1)*63216/884955+((E45+F45)*0.1*63216/884955)</f>
        <v>39085.258289014018</v>
      </c>
      <c r="U45" s="38"/>
      <c r="V45" s="68">
        <f t="shared" si="13"/>
        <v>38528.788797290705</v>
      </c>
    </row>
    <row r="46" spans="1:23" s="52" customFormat="1" x14ac:dyDescent="0.25">
      <c r="A46" s="5">
        <v>43862</v>
      </c>
      <c r="B46" s="48"/>
      <c r="C46" s="44">
        <f t="shared" si="1"/>
        <v>9936392.0855</v>
      </c>
      <c r="D46" s="44">
        <f t="shared" si="2"/>
        <v>5346885.4744999995</v>
      </c>
      <c r="E46" s="30">
        <v>4549.49</v>
      </c>
      <c r="F46" s="30">
        <v>-101.55</v>
      </c>
      <c r="G46" s="38"/>
      <c r="H46" s="44">
        <f t="shared" ref="H46" si="69">F24*0.45*0.8+(O24+R24+T24)*0.1*0.8+((E46+F46)*0.8)</f>
        <v>4281066.7315999996</v>
      </c>
      <c r="I46" s="44">
        <f t="shared" ref="I46" si="70">(F24*0.45*0.05+(O24+R24+T24)*0.1*0.05+((E46+F46)*0.05))</f>
        <v>267566.67072499997</v>
      </c>
      <c r="J46" s="44">
        <f t="shared" ref="J46" si="71">F24*0.45*0.05+(O24+R24+T24)*0.1*0.05+((E46+F46)*0.05)</f>
        <v>267566.67072499997</v>
      </c>
      <c r="K46" s="30"/>
      <c r="L46" s="44">
        <f t="shared" ref="L46" si="72">(F24*0.45*0.1+(O24+R24+T24)*0.1*0.1)*304204/884955+((E46+F46)*0.1*304204/884955)</f>
        <v>183952.52075241768</v>
      </c>
      <c r="M46" s="44">
        <f t="shared" ref="M46" si="73">(F24*0.45*0.1+(O24+R24+T24)*0.1*0.1)*55531/884955+((E46+F46)*0.1*55531/884955)</f>
        <v>33579.661772700245</v>
      </c>
      <c r="N46" s="44">
        <f t="shared" ref="N46" si="74">(F24*0.45*0.1+(O24+R24+T24)*0.1*0.1)*50219/884955+((E46+F46)*0.1*50219/884955)</f>
        <v>30367.489052299323</v>
      </c>
      <c r="O46" s="44">
        <f t="shared" ref="O46" si="75">(F24*0.45*0.1+(O24+R24+T24)*0.1*0.1)*159429/884955+((E46+F46)*0.1*159429/884955)</f>
        <v>96406.905994126297</v>
      </c>
      <c r="P46" s="44"/>
      <c r="Q46" s="44">
        <f t="shared" ref="Q46" si="76">(F24*0.45*0.1+(O24+R24+T24)*0.1*0.1)*219607/884955+((E46+F46)*0.1*219607/884955)</f>
        <v>132796.61419598752</v>
      </c>
      <c r="R46" s="44">
        <f t="shared" ref="R46" si="77">(F24*0.45*0.1+(O24+R24+T24)*0.1*0.1)*32749/884955+((E46+F46)*0.1*32749/884955)</f>
        <v>19803.359265890409</v>
      </c>
      <c r="S46" s="44"/>
      <c r="T46" s="44">
        <f t="shared" ref="T46" si="78">(F24*0.45*0.1+(O24+R24+T24)*0.1*0.1)*63216/884955+((E46+F46)*0.1*63216/884955)</f>
        <v>38226.790416578464</v>
      </c>
      <c r="U46" s="38"/>
      <c r="V46" s="68">
        <f t="shared" si="13"/>
        <v>38254.507934689558</v>
      </c>
    </row>
    <row r="47" spans="1:23" s="52" customFormat="1" x14ac:dyDescent="0.25">
      <c r="A47" s="5">
        <v>43891</v>
      </c>
      <c r="B47" s="48"/>
      <c r="C47" s="44">
        <f t="shared" ref="C47" si="79">(F25*0.55)+(O25+R25+T25)*0.9</f>
        <v>4682537.0539999995</v>
      </c>
      <c r="D47" s="44">
        <f t="shared" ref="D47" si="80">(F25*0.45)+(O25+R25+T25)*0.1</f>
        <v>2476889.656</v>
      </c>
      <c r="E47" s="30">
        <f>4577.1+3176.77</f>
        <v>7753.8700000000008</v>
      </c>
      <c r="F47" s="30">
        <v>2666.55</v>
      </c>
      <c r="G47" s="38"/>
      <c r="H47" s="44">
        <f t="shared" ref="H47" si="81">F25*0.45*0.8+(O25+R25+T25)*0.1*0.8+((E47+F47)*0.8)</f>
        <v>1989848.0607999999</v>
      </c>
      <c r="I47" s="44">
        <f t="shared" ref="I47" si="82">(F25*0.45*0.05+(O25+R25+T25)*0.1*0.05+((E47+F47)*0.05))</f>
        <v>124365.50379999999</v>
      </c>
      <c r="J47" s="44">
        <f t="shared" ref="J47" si="83">F25*0.45*0.05+(O25+R25+T25)*0.1*0.05+((E47+F47)*0.05)</f>
        <v>124365.50379999999</v>
      </c>
      <c r="K47" s="30"/>
      <c r="L47" s="44">
        <f t="shared" ref="L47" si="84">(F25*0.45*0.1+(O25+R25+T25)*0.1*0.1)*304204/884955+((E47+F47)*0.1*304204/884955)</f>
        <v>85501.485878886946</v>
      </c>
      <c r="M47" s="44">
        <f t="shared" ref="M47" si="85">(F25*0.45*0.1+(O25+R25+T25)*0.1*0.1)*55531/884955+((E47+F47)*0.1*55531/884955)</f>
        <v>15607.891455537967</v>
      </c>
      <c r="N47" s="44">
        <f t="shared" ref="N47" si="86">(F25*0.45*0.1+(O25+R25+T25)*0.1*0.1)*50219/884955+((E47+F47)*0.1*50219/884955)</f>
        <v>14114.867389488052</v>
      </c>
      <c r="O47" s="44">
        <f t="shared" ref="O47" si="87">(F25*0.45*0.1+(O25+R25+T25)*0.1*0.1)*159429/884955+((E47+F47)*0.1*159429/884955)</f>
        <v>44810.115554644472</v>
      </c>
      <c r="P47" s="44"/>
      <c r="Q47" s="44">
        <f t="shared" ref="Q47" si="88">(F25*0.45*0.1+(O25+R25+T25)*0.1*0.1)*219607/884955+((E47+F47)*0.1*219607/884955)</f>
        <v>61724.122001698612</v>
      </c>
      <c r="R47" s="44">
        <f t="shared" ref="R47" si="89">(F25*0.45*0.1+(O25+R25+T25)*0.1*0.1)*32749/884955+((E47+F47)*0.1*32749/884955)</f>
        <v>9204.639521662004</v>
      </c>
      <c r="S47" s="44"/>
      <c r="T47" s="44">
        <f t="shared" ref="T47" si="90">(F25*0.45*0.1+(O25+R25+T25)*0.1*0.1)*63216/884955+((E47+F47)*0.1*63216/884955)</f>
        <v>17767.885798081938</v>
      </c>
      <c r="U47" s="38"/>
      <c r="V47" s="68">
        <f t="shared" si="13"/>
        <v>17709.393687803786</v>
      </c>
    </row>
    <row r="48" spans="1:23" s="52" customFormat="1" ht="15.75" thickBot="1" x14ac:dyDescent="0.3">
      <c r="A48" s="5" t="s">
        <v>28</v>
      </c>
      <c r="B48" s="48"/>
      <c r="C48" s="69">
        <f>SUM(C36:C47)</f>
        <v>109213211.96650001</v>
      </c>
      <c r="D48" s="69">
        <f>SUM(D36:D47)</f>
        <v>57863197.123500012</v>
      </c>
      <c r="E48" s="69">
        <f>SUM(E36:E47)</f>
        <v>153087.13</v>
      </c>
      <c r="F48" s="39">
        <f>SUM(F36:F47)</f>
        <v>48132.6</v>
      </c>
      <c r="G48" s="46"/>
      <c r="H48" s="69">
        <f>SUM(H36:H47)</f>
        <v>46451533.482800007</v>
      </c>
      <c r="I48" s="69">
        <f t="shared" ref="I48:R48" si="91">SUM(I36:I47)</f>
        <v>2903220.8426750004</v>
      </c>
      <c r="J48" s="69">
        <f t="shared" si="91"/>
        <v>2903220.8426750004</v>
      </c>
      <c r="K48" s="69"/>
      <c r="L48" s="69">
        <f t="shared" si="91"/>
        <v>1995969.0452624271</v>
      </c>
      <c r="M48" s="69">
        <f t="shared" si="91"/>
        <v>364354.69965045777</v>
      </c>
      <c r="N48" s="69">
        <f t="shared" si="91"/>
        <v>329501.15542213072</v>
      </c>
      <c r="O48" s="69">
        <f t="shared" si="91"/>
        <v>1046059.0554928388</v>
      </c>
      <c r="P48" s="69"/>
      <c r="Q48" s="69">
        <f t="shared" si="91"/>
        <v>1440904.0450584013</v>
      </c>
      <c r="R48" s="69">
        <f t="shared" si="91"/>
        <v>214875.51203567089</v>
      </c>
      <c r="S48" s="69"/>
      <c r="T48" s="69">
        <f>SUM(T36:T47)</f>
        <v>414778.17242807325</v>
      </c>
      <c r="U48" s="46"/>
      <c r="V48" s="68"/>
      <c r="W48" s="70"/>
    </row>
    <row r="49" spans="1:23" s="52" customFormat="1" ht="15.75" thickTop="1" x14ac:dyDescent="0.25">
      <c r="A49" s="48"/>
      <c r="B49" s="48"/>
      <c r="C49" s="46"/>
      <c r="D49" s="49"/>
      <c r="E49" s="49"/>
      <c r="F49" s="49"/>
      <c r="G49" s="49"/>
      <c r="H49" s="49"/>
      <c r="I49" s="49"/>
      <c r="J49" s="51"/>
      <c r="K49" s="51"/>
      <c r="L49" s="49"/>
      <c r="M49" s="49"/>
      <c r="N49" s="49"/>
      <c r="O49" s="49"/>
      <c r="P49" s="51"/>
      <c r="Q49" s="49"/>
      <c r="R49" s="51"/>
      <c r="S49" s="51"/>
      <c r="T49" s="51"/>
      <c r="U49" s="51"/>
      <c r="V49" s="68"/>
    </row>
    <row r="50" spans="1:23" s="52" customFormat="1" x14ac:dyDescent="0.25">
      <c r="A50" s="48"/>
      <c r="B50" s="48"/>
      <c r="C50" s="49">
        <f>C48/V26</f>
        <v>0.65367224829251336</v>
      </c>
      <c r="D50" s="49">
        <f>D48/V26</f>
        <v>0.34632775170748681</v>
      </c>
      <c r="E50" s="49"/>
      <c r="F50" s="49"/>
      <c r="G50" s="49"/>
      <c r="H50" s="49">
        <f>H48/($D48+$E$48+$F$48)</f>
        <v>0.79999999999999993</v>
      </c>
      <c r="I50" s="49">
        <f t="shared" ref="I50:R50" si="92">I48/($D48+$E$48+$F$48)</f>
        <v>4.9999999999999996E-2</v>
      </c>
      <c r="J50" s="49">
        <f t="shared" si="92"/>
        <v>4.9999999999999996E-2</v>
      </c>
      <c r="K50" s="49"/>
      <c r="L50" s="49">
        <f t="shared" si="92"/>
        <v>3.437508121881902E-2</v>
      </c>
      <c r="M50" s="49">
        <f t="shared" si="92"/>
        <v>6.2750083337570822E-3</v>
      </c>
      <c r="N50" s="49">
        <f t="shared" si="92"/>
        <v>5.674751823539049E-3</v>
      </c>
      <c r="O50" s="49">
        <f t="shared" si="92"/>
        <v>1.8015492313168461E-2</v>
      </c>
      <c r="P50" s="49"/>
      <c r="Q50" s="49">
        <f t="shared" si="92"/>
        <v>2.4815612093270274E-2</v>
      </c>
      <c r="R50" s="49">
        <f t="shared" si="92"/>
        <v>3.7006401455441226E-3</v>
      </c>
      <c r="S50" s="49"/>
      <c r="T50" s="49">
        <f>T48/($D48+$E$48+$F$48)</f>
        <v>7.1434140719019582E-3</v>
      </c>
      <c r="U50" s="49"/>
      <c r="V50" s="68"/>
    </row>
    <row r="51" spans="1:23" s="52" customFormat="1" x14ac:dyDescent="0.25">
      <c r="A51" s="48"/>
      <c r="B51" s="48"/>
      <c r="C51" s="49"/>
      <c r="D51" s="49"/>
      <c r="E51" s="51"/>
      <c r="F51" s="46"/>
      <c r="G51" s="51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1"/>
      <c r="V51" s="68"/>
      <c r="W51" s="70"/>
    </row>
    <row r="52" spans="1:23" s="52" customFormat="1" x14ac:dyDescent="0.25">
      <c r="A52" s="71" t="s">
        <v>55</v>
      </c>
      <c r="B52" s="48"/>
      <c r="C52" s="49"/>
      <c r="D52" s="49"/>
      <c r="E52" s="51"/>
      <c r="F52" s="51"/>
      <c r="G52" s="51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1"/>
      <c r="V52" s="68"/>
      <c r="W52" s="70"/>
    </row>
    <row r="53" spans="1:23" s="52" customFormat="1" x14ac:dyDescent="0.25">
      <c r="A53" s="72" t="s">
        <v>73</v>
      </c>
      <c r="B53" s="73"/>
      <c r="C53" s="74"/>
      <c r="D53" s="74"/>
      <c r="E53" s="54"/>
      <c r="F53" s="54"/>
      <c r="G53" s="5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54"/>
      <c r="V53" s="54"/>
      <c r="W53" s="70"/>
    </row>
    <row r="54" spans="1:23" s="52" customFormat="1" x14ac:dyDescent="0.25">
      <c r="A54" s="72" t="s">
        <v>57</v>
      </c>
      <c r="B54" s="73"/>
      <c r="C54" s="74"/>
      <c r="D54" s="74"/>
      <c r="E54" s="54"/>
      <c r="F54" s="54"/>
      <c r="G54" s="5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54"/>
      <c r="V54" s="54"/>
    </row>
    <row r="55" spans="1:23" s="52" customFormat="1" x14ac:dyDescent="0.25">
      <c r="A55" s="72"/>
      <c r="B55" s="73"/>
      <c r="C55" s="74"/>
      <c r="D55" s="74"/>
      <c r="E55" s="54"/>
      <c r="F55" s="54"/>
      <c r="G55" s="54"/>
      <c r="H55" s="75"/>
      <c r="I55" s="75"/>
      <c r="J55" s="75"/>
      <c r="K55" s="74"/>
      <c r="L55" s="76"/>
      <c r="M55" s="76"/>
      <c r="N55" s="76"/>
      <c r="O55" s="76"/>
      <c r="P55" s="74"/>
      <c r="Q55" s="76"/>
      <c r="R55" s="76"/>
      <c r="S55" s="76"/>
      <c r="T55" s="76"/>
      <c r="U55" s="77"/>
      <c r="V55" s="77"/>
    </row>
    <row r="56" spans="1:23" s="52" customFormat="1" ht="15" customHeight="1" x14ac:dyDescent="0.25">
      <c r="A56" s="72" t="s">
        <v>58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</row>
    <row r="57" spans="1:23" s="52" customFormat="1" x14ac:dyDescent="0.25">
      <c r="A57" s="54"/>
      <c r="B57" s="73"/>
      <c r="C57" s="74"/>
      <c r="D57" s="79"/>
      <c r="E57" s="54"/>
      <c r="F57" s="54"/>
      <c r="G57" s="5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54"/>
      <c r="V57" s="54"/>
    </row>
    <row r="58" spans="1:23" ht="15" customHeight="1" x14ac:dyDescent="0.25">
      <c r="A58" s="80" t="s">
        <v>59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32"/>
      <c r="P58" s="32"/>
      <c r="Q58" s="32"/>
      <c r="R58" s="32"/>
      <c r="S58" s="32"/>
      <c r="T58" s="32"/>
      <c r="U58" s="36"/>
      <c r="V58" s="36"/>
    </row>
    <row r="59" spans="1:23" x14ac:dyDescent="0.25">
      <c r="A59" s="80" t="s">
        <v>74</v>
      </c>
      <c r="B59" s="5"/>
      <c r="C59" s="32"/>
      <c r="D59" s="32"/>
      <c r="E59" s="32"/>
      <c r="F59" s="32"/>
      <c r="G59" s="32"/>
      <c r="H59" s="32"/>
      <c r="I59" s="35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6"/>
      <c r="V59" s="36"/>
    </row>
    <row r="60" spans="1:23" x14ac:dyDescent="0.25">
      <c r="A60" s="5"/>
      <c r="B60" s="5"/>
      <c r="C60" s="32"/>
      <c r="D60" s="32"/>
      <c r="E60" s="32"/>
      <c r="F60" s="32"/>
      <c r="G60" s="32"/>
      <c r="H60" s="32"/>
      <c r="I60" s="35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6"/>
      <c r="V60" s="36"/>
    </row>
    <row r="61" spans="1:23" x14ac:dyDescent="0.25">
      <c r="A61" s="80" t="s">
        <v>61</v>
      </c>
      <c r="B61" s="5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6"/>
      <c r="V61" s="36"/>
    </row>
    <row r="62" spans="1:23" x14ac:dyDescent="0.25">
      <c r="A62" s="80"/>
      <c r="B62" s="5"/>
      <c r="C62" s="32"/>
      <c r="D62" s="32"/>
      <c r="E62" s="32"/>
      <c r="F62" s="32"/>
      <c r="G62" s="32"/>
      <c r="H62" s="32"/>
      <c r="I62" s="35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6"/>
      <c r="V62" s="36"/>
    </row>
    <row r="63" spans="1:23" x14ac:dyDescent="0.25">
      <c r="A63" s="80" t="s">
        <v>75</v>
      </c>
      <c r="B63" s="5"/>
      <c r="C63" s="32"/>
      <c r="D63" s="32"/>
      <c r="E63" s="32"/>
      <c r="F63" s="32"/>
      <c r="G63" s="32"/>
      <c r="H63" s="32"/>
      <c r="I63" s="35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6"/>
      <c r="V63" s="36"/>
    </row>
    <row r="64" spans="1:23" x14ac:dyDescent="0.25">
      <c r="A64" s="81"/>
      <c r="B64" s="82"/>
      <c r="C64" s="83"/>
      <c r="D64" s="83"/>
      <c r="E64" s="83"/>
      <c r="F64" s="83"/>
      <c r="G64" s="83"/>
      <c r="H64" s="83"/>
      <c r="I64" s="84"/>
      <c r="J64" s="83"/>
      <c r="K64" s="83"/>
      <c r="L64" s="83"/>
      <c r="M64" s="83"/>
      <c r="N64" s="83"/>
      <c r="O64" s="83"/>
    </row>
    <row r="65" spans="1:1" x14ac:dyDescent="0.25">
      <c r="A65" s="100" t="s">
        <v>71</v>
      </c>
    </row>
  </sheetData>
  <mergeCells count="12">
    <mergeCell ref="L34:V34"/>
    <mergeCell ref="A1:V1"/>
    <mergeCell ref="A2:V2"/>
    <mergeCell ref="A3:V3"/>
    <mergeCell ref="A4:V4"/>
    <mergeCell ref="A5:V5"/>
    <mergeCell ref="A8:V8"/>
    <mergeCell ref="C10:I10"/>
    <mergeCell ref="L10:O10"/>
    <mergeCell ref="Q10:R10"/>
    <mergeCell ref="A30:V30"/>
    <mergeCell ref="H32:T32"/>
  </mergeCells>
  <hyperlinks>
    <hyperlink ref="A4" r:id="rId1" xr:uid="{00000000-0004-0000-0000-000000000000}"/>
  </hyperlinks>
  <printOptions horizontalCentered="1" verticalCentered="1"/>
  <pageMargins left="0" right="0" top="0.25" bottom="0.25" header="0.3" footer="0.3"/>
  <pageSetup scale="54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63"/>
  <sheetViews>
    <sheetView topLeftCell="A10" zoomScale="90" zoomScaleNormal="90" workbookViewId="0">
      <selection activeCell="I26" sqref="I26"/>
    </sheetView>
  </sheetViews>
  <sheetFormatPr defaultRowHeight="15" x14ac:dyDescent="0.25"/>
  <cols>
    <col min="1" max="1" width="9.28515625" style="86" customWidth="1"/>
    <col min="2" max="2" width="1.7109375" style="86" customWidth="1"/>
    <col min="3" max="3" width="15.5703125" style="85" bestFit="1" customWidth="1"/>
    <col min="4" max="4" width="13.5703125" style="85" customWidth="1"/>
    <col min="5" max="5" width="15.5703125" style="85" bestFit="1" customWidth="1"/>
    <col min="6" max="6" width="16.28515625" style="85" bestFit="1" customWidth="1"/>
    <col min="7" max="7" width="1.85546875" style="85" customWidth="1"/>
    <col min="8" max="8" width="15" style="85" customWidth="1"/>
    <col min="9" max="9" width="11.7109375" style="67" customWidth="1"/>
    <col min="10" max="10" width="12.140625" style="85" bestFit="1" customWidth="1"/>
    <col min="11" max="11" width="1.140625" style="85" customWidth="1"/>
    <col min="12" max="12" width="11.7109375" style="85" customWidth="1"/>
    <col min="13" max="13" width="17.7109375" style="85" customWidth="1"/>
    <col min="14" max="14" width="11.5703125" style="85" customWidth="1"/>
    <col min="15" max="15" width="12.42578125" style="85" customWidth="1"/>
    <col min="16" max="16" width="3.42578125" style="85" customWidth="1"/>
    <col min="17" max="17" width="15" style="85" customWidth="1"/>
    <col min="18" max="18" width="12.140625" style="85" customWidth="1"/>
    <col min="19" max="19" width="3.5703125" style="1" customWidth="1"/>
    <col min="20" max="20" width="14.42578125" style="1" customWidth="1"/>
    <col min="21" max="21" width="15" style="1" customWidth="1"/>
    <col min="22" max="257" width="8.85546875" style="1"/>
    <col min="258" max="258" width="9.28515625" style="1" customWidth="1"/>
    <col min="259" max="259" width="1.7109375" style="1" customWidth="1"/>
    <col min="260" max="263" width="12" style="1" customWidth="1"/>
    <col min="264" max="264" width="11.85546875" style="1" customWidth="1"/>
    <col min="265" max="265" width="10.7109375" style="1" customWidth="1"/>
    <col min="266" max="266" width="10.5703125" style="1" customWidth="1"/>
    <col min="267" max="267" width="1.140625" style="1" customWidth="1"/>
    <col min="268" max="268" width="11.28515625" style="1" customWidth="1"/>
    <col min="269" max="269" width="12.7109375" style="1" customWidth="1"/>
    <col min="270" max="270" width="11.5703125" style="1" customWidth="1"/>
    <col min="271" max="271" width="12.42578125" style="1" customWidth="1"/>
    <col min="272" max="272" width="1.5703125" style="1" customWidth="1"/>
    <col min="273" max="273" width="11.42578125" style="1" customWidth="1"/>
    <col min="274" max="274" width="12.140625" style="1" customWidth="1"/>
    <col min="275" max="275" width="1.7109375" style="1" customWidth="1"/>
    <col min="276" max="276" width="13.5703125" style="1" customWidth="1"/>
    <col min="277" max="513" width="8.85546875" style="1"/>
    <col min="514" max="514" width="9.28515625" style="1" customWidth="1"/>
    <col min="515" max="515" width="1.7109375" style="1" customWidth="1"/>
    <col min="516" max="519" width="12" style="1" customWidth="1"/>
    <col min="520" max="520" width="11.85546875" style="1" customWidth="1"/>
    <col min="521" max="521" width="10.7109375" style="1" customWidth="1"/>
    <col min="522" max="522" width="10.5703125" style="1" customWidth="1"/>
    <col min="523" max="523" width="1.140625" style="1" customWidth="1"/>
    <col min="524" max="524" width="11.28515625" style="1" customWidth="1"/>
    <col min="525" max="525" width="12.7109375" style="1" customWidth="1"/>
    <col min="526" max="526" width="11.5703125" style="1" customWidth="1"/>
    <col min="527" max="527" width="12.42578125" style="1" customWidth="1"/>
    <col min="528" max="528" width="1.5703125" style="1" customWidth="1"/>
    <col min="529" max="529" width="11.42578125" style="1" customWidth="1"/>
    <col min="530" max="530" width="12.140625" style="1" customWidth="1"/>
    <col min="531" max="531" width="1.7109375" style="1" customWidth="1"/>
    <col min="532" max="532" width="13.5703125" style="1" customWidth="1"/>
    <col min="533" max="769" width="8.85546875" style="1"/>
    <col min="770" max="770" width="9.28515625" style="1" customWidth="1"/>
    <col min="771" max="771" width="1.7109375" style="1" customWidth="1"/>
    <col min="772" max="775" width="12" style="1" customWidth="1"/>
    <col min="776" max="776" width="11.85546875" style="1" customWidth="1"/>
    <col min="777" max="777" width="10.7109375" style="1" customWidth="1"/>
    <col min="778" max="778" width="10.5703125" style="1" customWidth="1"/>
    <col min="779" max="779" width="1.140625" style="1" customWidth="1"/>
    <col min="780" max="780" width="11.28515625" style="1" customWidth="1"/>
    <col min="781" max="781" width="12.7109375" style="1" customWidth="1"/>
    <col min="782" max="782" width="11.5703125" style="1" customWidth="1"/>
    <col min="783" max="783" width="12.42578125" style="1" customWidth="1"/>
    <col min="784" max="784" width="1.5703125" style="1" customWidth="1"/>
    <col min="785" max="785" width="11.42578125" style="1" customWidth="1"/>
    <col min="786" max="786" width="12.140625" style="1" customWidth="1"/>
    <col min="787" max="787" width="1.7109375" style="1" customWidth="1"/>
    <col min="788" max="788" width="13.5703125" style="1" customWidth="1"/>
    <col min="789" max="1025" width="8.85546875" style="1"/>
    <col min="1026" max="1026" width="9.28515625" style="1" customWidth="1"/>
    <col min="1027" max="1027" width="1.7109375" style="1" customWidth="1"/>
    <col min="1028" max="1031" width="12" style="1" customWidth="1"/>
    <col min="1032" max="1032" width="11.85546875" style="1" customWidth="1"/>
    <col min="1033" max="1033" width="10.7109375" style="1" customWidth="1"/>
    <col min="1034" max="1034" width="10.5703125" style="1" customWidth="1"/>
    <col min="1035" max="1035" width="1.140625" style="1" customWidth="1"/>
    <col min="1036" max="1036" width="11.28515625" style="1" customWidth="1"/>
    <col min="1037" max="1037" width="12.7109375" style="1" customWidth="1"/>
    <col min="1038" max="1038" width="11.5703125" style="1" customWidth="1"/>
    <col min="1039" max="1039" width="12.42578125" style="1" customWidth="1"/>
    <col min="1040" max="1040" width="1.5703125" style="1" customWidth="1"/>
    <col min="1041" max="1041" width="11.42578125" style="1" customWidth="1"/>
    <col min="1042" max="1042" width="12.140625" style="1" customWidth="1"/>
    <col min="1043" max="1043" width="1.7109375" style="1" customWidth="1"/>
    <col min="1044" max="1044" width="13.5703125" style="1" customWidth="1"/>
    <col min="1045" max="1281" width="8.85546875" style="1"/>
    <col min="1282" max="1282" width="9.28515625" style="1" customWidth="1"/>
    <col min="1283" max="1283" width="1.7109375" style="1" customWidth="1"/>
    <col min="1284" max="1287" width="12" style="1" customWidth="1"/>
    <col min="1288" max="1288" width="11.85546875" style="1" customWidth="1"/>
    <col min="1289" max="1289" width="10.7109375" style="1" customWidth="1"/>
    <col min="1290" max="1290" width="10.5703125" style="1" customWidth="1"/>
    <col min="1291" max="1291" width="1.140625" style="1" customWidth="1"/>
    <col min="1292" max="1292" width="11.28515625" style="1" customWidth="1"/>
    <col min="1293" max="1293" width="12.7109375" style="1" customWidth="1"/>
    <col min="1294" max="1294" width="11.5703125" style="1" customWidth="1"/>
    <col min="1295" max="1295" width="12.42578125" style="1" customWidth="1"/>
    <col min="1296" max="1296" width="1.5703125" style="1" customWidth="1"/>
    <col min="1297" max="1297" width="11.42578125" style="1" customWidth="1"/>
    <col min="1298" max="1298" width="12.140625" style="1" customWidth="1"/>
    <col min="1299" max="1299" width="1.7109375" style="1" customWidth="1"/>
    <col min="1300" max="1300" width="13.5703125" style="1" customWidth="1"/>
    <col min="1301" max="1537" width="8.85546875" style="1"/>
    <col min="1538" max="1538" width="9.28515625" style="1" customWidth="1"/>
    <col min="1539" max="1539" width="1.7109375" style="1" customWidth="1"/>
    <col min="1540" max="1543" width="12" style="1" customWidth="1"/>
    <col min="1544" max="1544" width="11.85546875" style="1" customWidth="1"/>
    <col min="1545" max="1545" width="10.7109375" style="1" customWidth="1"/>
    <col min="1546" max="1546" width="10.5703125" style="1" customWidth="1"/>
    <col min="1547" max="1547" width="1.140625" style="1" customWidth="1"/>
    <col min="1548" max="1548" width="11.28515625" style="1" customWidth="1"/>
    <col min="1549" max="1549" width="12.7109375" style="1" customWidth="1"/>
    <col min="1550" max="1550" width="11.5703125" style="1" customWidth="1"/>
    <col min="1551" max="1551" width="12.42578125" style="1" customWidth="1"/>
    <col min="1552" max="1552" width="1.5703125" style="1" customWidth="1"/>
    <col min="1553" max="1553" width="11.42578125" style="1" customWidth="1"/>
    <col min="1554" max="1554" width="12.140625" style="1" customWidth="1"/>
    <col min="1555" max="1555" width="1.7109375" style="1" customWidth="1"/>
    <col min="1556" max="1556" width="13.5703125" style="1" customWidth="1"/>
    <col min="1557" max="1793" width="8.85546875" style="1"/>
    <col min="1794" max="1794" width="9.28515625" style="1" customWidth="1"/>
    <col min="1795" max="1795" width="1.7109375" style="1" customWidth="1"/>
    <col min="1796" max="1799" width="12" style="1" customWidth="1"/>
    <col min="1800" max="1800" width="11.85546875" style="1" customWidth="1"/>
    <col min="1801" max="1801" width="10.7109375" style="1" customWidth="1"/>
    <col min="1802" max="1802" width="10.5703125" style="1" customWidth="1"/>
    <col min="1803" max="1803" width="1.140625" style="1" customWidth="1"/>
    <col min="1804" max="1804" width="11.28515625" style="1" customWidth="1"/>
    <col min="1805" max="1805" width="12.7109375" style="1" customWidth="1"/>
    <col min="1806" max="1806" width="11.5703125" style="1" customWidth="1"/>
    <col min="1807" max="1807" width="12.42578125" style="1" customWidth="1"/>
    <col min="1808" max="1808" width="1.5703125" style="1" customWidth="1"/>
    <col min="1809" max="1809" width="11.42578125" style="1" customWidth="1"/>
    <col min="1810" max="1810" width="12.140625" style="1" customWidth="1"/>
    <col min="1811" max="1811" width="1.7109375" style="1" customWidth="1"/>
    <col min="1812" max="1812" width="13.5703125" style="1" customWidth="1"/>
    <col min="1813" max="2049" width="8.85546875" style="1"/>
    <col min="2050" max="2050" width="9.28515625" style="1" customWidth="1"/>
    <col min="2051" max="2051" width="1.7109375" style="1" customWidth="1"/>
    <col min="2052" max="2055" width="12" style="1" customWidth="1"/>
    <col min="2056" max="2056" width="11.85546875" style="1" customWidth="1"/>
    <col min="2057" max="2057" width="10.7109375" style="1" customWidth="1"/>
    <col min="2058" max="2058" width="10.5703125" style="1" customWidth="1"/>
    <col min="2059" max="2059" width="1.140625" style="1" customWidth="1"/>
    <col min="2060" max="2060" width="11.28515625" style="1" customWidth="1"/>
    <col min="2061" max="2061" width="12.7109375" style="1" customWidth="1"/>
    <col min="2062" max="2062" width="11.5703125" style="1" customWidth="1"/>
    <col min="2063" max="2063" width="12.42578125" style="1" customWidth="1"/>
    <col min="2064" max="2064" width="1.5703125" style="1" customWidth="1"/>
    <col min="2065" max="2065" width="11.42578125" style="1" customWidth="1"/>
    <col min="2066" max="2066" width="12.140625" style="1" customWidth="1"/>
    <col min="2067" max="2067" width="1.7109375" style="1" customWidth="1"/>
    <col min="2068" max="2068" width="13.5703125" style="1" customWidth="1"/>
    <col min="2069" max="2305" width="8.85546875" style="1"/>
    <col min="2306" max="2306" width="9.28515625" style="1" customWidth="1"/>
    <col min="2307" max="2307" width="1.7109375" style="1" customWidth="1"/>
    <col min="2308" max="2311" width="12" style="1" customWidth="1"/>
    <col min="2312" max="2312" width="11.85546875" style="1" customWidth="1"/>
    <col min="2313" max="2313" width="10.7109375" style="1" customWidth="1"/>
    <col min="2314" max="2314" width="10.5703125" style="1" customWidth="1"/>
    <col min="2315" max="2315" width="1.140625" style="1" customWidth="1"/>
    <col min="2316" max="2316" width="11.28515625" style="1" customWidth="1"/>
    <col min="2317" max="2317" width="12.7109375" style="1" customWidth="1"/>
    <col min="2318" max="2318" width="11.5703125" style="1" customWidth="1"/>
    <col min="2319" max="2319" width="12.42578125" style="1" customWidth="1"/>
    <col min="2320" max="2320" width="1.5703125" style="1" customWidth="1"/>
    <col min="2321" max="2321" width="11.42578125" style="1" customWidth="1"/>
    <col min="2322" max="2322" width="12.140625" style="1" customWidth="1"/>
    <col min="2323" max="2323" width="1.7109375" style="1" customWidth="1"/>
    <col min="2324" max="2324" width="13.5703125" style="1" customWidth="1"/>
    <col min="2325" max="2561" width="8.85546875" style="1"/>
    <col min="2562" max="2562" width="9.28515625" style="1" customWidth="1"/>
    <col min="2563" max="2563" width="1.7109375" style="1" customWidth="1"/>
    <col min="2564" max="2567" width="12" style="1" customWidth="1"/>
    <col min="2568" max="2568" width="11.85546875" style="1" customWidth="1"/>
    <col min="2569" max="2569" width="10.7109375" style="1" customWidth="1"/>
    <col min="2570" max="2570" width="10.5703125" style="1" customWidth="1"/>
    <col min="2571" max="2571" width="1.140625" style="1" customWidth="1"/>
    <col min="2572" max="2572" width="11.28515625" style="1" customWidth="1"/>
    <col min="2573" max="2573" width="12.7109375" style="1" customWidth="1"/>
    <col min="2574" max="2574" width="11.5703125" style="1" customWidth="1"/>
    <col min="2575" max="2575" width="12.42578125" style="1" customWidth="1"/>
    <col min="2576" max="2576" width="1.5703125" style="1" customWidth="1"/>
    <col min="2577" max="2577" width="11.42578125" style="1" customWidth="1"/>
    <col min="2578" max="2578" width="12.140625" style="1" customWidth="1"/>
    <col min="2579" max="2579" width="1.7109375" style="1" customWidth="1"/>
    <col min="2580" max="2580" width="13.5703125" style="1" customWidth="1"/>
    <col min="2581" max="2817" width="8.85546875" style="1"/>
    <col min="2818" max="2818" width="9.28515625" style="1" customWidth="1"/>
    <col min="2819" max="2819" width="1.7109375" style="1" customWidth="1"/>
    <col min="2820" max="2823" width="12" style="1" customWidth="1"/>
    <col min="2824" max="2824" width="11.85546875" style="1" customWidth="1"/>
    <col min="2825" max="2825" width="10.7109375" style="1" customWidth="1"/>
    <col min="2826" max="2826" width="10.5703125" style="1" customWidth="1"/>
    <col min="2827" max="2827" width="1.140625" style="1" customWidth="1"/>
    <col min="2828" max="2828" width="11.28515625" style="1" customWidth="1"/>
    <col min="2829" max="2829" width="12.7109375" style="1" customWidth="1"/>
    <col min="2830" max="2830" width="11.5703125" style="1" customWidth="1"/>
    <col min="2831" max="2831" width="12.42578125" style="1" customWidth="1"/>
    <col min="2832" max="2832" width="1.5703125" style="1" customWidth="1"/>
    <col min="2833" max="2833" width="11.42578125" style="1" customWidth="1"/>
    <col min="2834" max="2834" width="12.140625" style="1" customWidth="1"/>
    <col min="2835" max="2835" width="1.7109375" style="1" customWidth="1"/>
    <col min="2836" max="2836" width="13.5703125" style="1" customWidth="1"/>
    <col min="2837" max="3073" width="8.85546875" style="1"/>
    <col min="3074" max="3074" width="9.28515625" style="1" customWidth="1"/>
    <col min="3075" max="3075" width="1.7109375" style="1" customWidth="1"/>
    <col min="3076" max="3079" width="12" style="1" customWidth="1"/>
    <col min="3080" max="3080" width="11.85546875" style="1" customWidth="1"/>
    <col min="3081" max="3081" width="10.7109375" style="1" customWidth="1"/>
    <col min="3082" max="3082" width="10.5703125" style="1" customWidth="1"/>
    <col min="3083" max="3083" width="1.140625" style="1" customWidth="1"/>
    <col min="3084" max="3084" width="11.28515625" style="1" customWidth="1"/>
    <col min="3085" max="3085" width="12.7109375" style="1" customWidth="1"/>
    <col min="3086" max="3086" width="11.5703125" style="1" customWidth="1"/>
    <col min="3087" max="3087" width="12.42578125" style="1" customWidth="1"/>
    <col min="3088" max="3088" width="1.5703125" style="1" customWidth="1"/>
    <col min="3089" max="3089" width="11.42578125" style="1" customWidth="1"/>
    <col min="3090" max="3090" width="12.140625" style="1" customWidth="1"/>
    <col min="3091" max="3091" width="1.7109375" style="1" customWidth="1"/>
    <col min="3092" max="3092" width="13.5703125" style="1" customWidth="1"/>
    <col min="3093" max="3329" width="8.85546875" style="1"/>
    <col min="3330" max="3330" width="9.28515625" style="1" customWidth="1"/>
    <col min="3331" max="3331" width="1.7109375" style="1" customWidth="1"/>
    <col min="3332" max="3335" width="12" style="1" customWidth="1"/>
    <col min="3336" max="3336" width="11.85546875" style="1" customWidth="1"/>
    <col min="3337" max="3337" width="10.7109375" style="1" customWidth="1"/>
    <col min="3338" max="3338" width="10.5703125" style="1" customWidth="1"/>
    <col min="3339" max="3339" width="1.140625" style="1" customWidth="1"/>
    <col min="3340" max="3340" width="11.28515625" style="1" customWidth="1"/>
    <col min="3341" max="3341" width="12.7109375" style="1" customWidth="1"/>
    <col min="3342" max="3342" width="11.5703125" style="1" customWidth="1"/>
    <col min="3343" max="3343" width="12.42578125" style="1" customWidth="1"/>
    <col min="3344" max="3344" width="1.5703125" style="1" customWidth="1"/>
    <col min="3345" max="3345" width="11.42578125" style="1" customWidth="1"/>
    <col min="3346" max="3346" width="12.140625" style="1" customWidth="1"/>
    <col min="3347" max="3347" width="1.7109375" style="1" customWidth="1"/>
    <col min="3348" max="3348" width="13.5703125" style="1" customWidth="1"/>
    <col min="3349" max="3585" width="8.85546875" style="1"/>
    <col min="3586" max="3586" width="9.28515625" style="1" customWidth="1"/>
    <col min="3587" max="3587" width="1.7109375" style="1" customWidth="1"/>
    <col min="3588" max="3591" width="12" style="1" customWidth="1"/>
    <col min="3592" max="3592" width="11.85546875" style="1" customWidth="1"/>
    <col min="3593" max="3593" width="10.7109375" style="1" customWidth="1"/>
    <col min="3594" max="3594" width="10.5703125" style="1" customWidth="1"/>
    <col min="3595" max="3595" width="1.140625" style="1" customWidth="1"/>
    <col min="3596" max="3596" width="11.28515625" style="1" customWidth="1"/>
    <col min="3597" max="3597" width="12.7109375" style="1" customWidth="1"/>
    <col min="3598" max="3598" width="11.5703125" style="1" customWidth="1"/>
    <col min="3599" max="3599" width="12.42578125" style="1" customWidth="1"/>
    <col min="3600" max="3600" width="1.5703125" style="1" customWidth="1"/>
    <col min="3601" max="3601" width="11.42578125" style="1" customWidth="1"/>
    <col min="3602" max="3602" width="12.140625" style="1" customWidth="1"/>
    <col min="3603" max="3603" width="1.7109375" style="1" customWidth="1"/>
    <col min="3604" max="3604" width="13.5703125" style="1" customWidth="1"/>
    <col min="3605" max="3841" width="8.85546875" style="1"/>
    <col min="3842" max="3842" width="9.28515625" style="1" customWidth="1"/>
    <col min="3843" max="3843" width="1.7109375" style="1" customWidth="1"/>
    <col min="3844" max="3847" width="12" style="1" customWidth="1"/>
    <col min="3848" max="3848" width="11.85546875" style="1" customWidth="1"/>
    <col min="3849" max="3849" width="10.7109375" style="1" customWidth="1"/>
    <col min="3850" max="3850" width="10.5703125" style="1" customWidth="1"/>
    <col min="3851" max="3851" width="1.140625" style="1" customWidth="1"/>
    <col min="3852" max="3852" width="11.28515625" style="1" customWidth="1"/>
    <col min="3853" max="3853" width="12.7109375" style="1" customWidth="1"/>
    <col min="3854" max="3854" width="11.5703125" style="1" customWidth="1"/>
    <col min="3855" max="3855" width="12.42578125" style="1" customWidth="1"/>
    <col min="3856" max="3856" width="1.5703125" style="1" customWidth="1"/>
    <col min="3857" max="3857" width="11.42578125" style="1" customWidth="1"/>
    <col min="3858" max="3858" width="12.140625" style="1" customWidth="1"/>
    <col min="3859" max="3859" width="1.7109375" style="1" customWidth="1"/>
    <col min="3860" max="3860" width="13.5703125" style="1" customWidth="1"/>
    <col min="3861" max="4097" width="8.85546875" style="1"/>
    <col min="4098" max="4098" width="9.28515625" style="1" customWidth="1"/>
    <col min="4099" max="4099" width="1.7109375" style="1" customWidth="1"/>
    <col min="4100" max="4103" width="12" style="1" customWidth="1"/>
    <col min="4104" max="4104" width="11.85546875" style="1" customWidth="1"/>
    <col min="4105" max="4105" width="10.7109375" style="1" customWidth="1"/>
    <col min="4106" max="4106" width="10.5703125" style="1" customWidth="1"/>
    <col min="4107" max="4107" width="1.140625" style="1" customWidth="1"/>
    <col min="4108" max="4108" width="11.28515625" style="1" customWidth="1"/>
    <col min="4109" max="4109" width="12.7109375" style="1" customWidth="1"/>
    <col min="4110" max="4110" width="11.5703125" style="1" customWidth="1"/>
    <col min="4111" max="4111" width="12.42578125" style="1" customWidth="1"/>
    <col min="4112" max="4112" width="1.5703125" style="1" customWidth="1"/>
    <col min="4113" max="4113" width="11.42578125" style="1" customWidth="1"/>
    <col min="4114" max="4114" width="12.140625" style="1" customWidth="1"/>
    <col min="4115" max="4115" width="1.7109375" style="1" customWidth="1"/>
    <col min="4116" max="4116" width="13.5703125" style="1" customWidth="1"/>
    <col min="4117" max="4353" width="8.85546875" style="1"/>
    <col min="4354" max="4354" width="9.28515625" style="1" customWidth="1"/>
    <col min="4355" max="4355" width="1.7109375" style="1" customWidth="1"/>
    <col min="4356" max="4359" width="12" style="1" customWidth="1"/>
    <col min="4360" max="4360" width="11.85546875" style="1" customWidth="1"/>
    <col min="4361" max="4361" width="10.7109375" style="1" customWidth="1"/>
    <col min="4362" max="4362" width="10.5703125" style="1" customWidth="1"/>
    <col min="4363" max="4363" width="1.140625" style="1" customWidth="1"/>
    <col min="4364" max="4364" width="11.28515625" style="1" customWidth="1"/>
    <col min="4365" max="4365" width="12.7109375" style="1" customWidth="1"/>
    <col min="4366" max="4366" width="11.5703125" style="1" customWidth="1"/>
    <col min="4367" max="4367" width="12.42578125" style="1" customWidth="1"/>
    <col min="4368" max="4368" width="1.5703125" style="1" customWidth="1"/>
    <col min="4369" max="4369" width="11.42578125" style="1" customWidth="1"/>
    <col min="4370" max="4370" width="12.140625" style="1" customWidth="1"/>
    <col min="4371" max="4371" width="1.7109375" style="1" customWidth="1"/>
    <col min="4372" max="4372" width="13.5703125" style="1" customWidth="1"/>
    <col min="4373" max="4609" width="8.85546875" style="1"/>
    <col min="4610" max="4610" width="9.28515625" style="1" customWidth="1"/>
    <col min="4611" max="4611" width="1.7109375" style="1" customWidth="1"/>
    <col min="4612" max="4615" width="12" style="1" customWidth="1"/>
    <col min="4616" max="4616" width="11.85546875" style="1" customWidth="1"/>
    <col min="4617" max="4617" width="10.7109375" style="1" customWidth="1"/>
    <col min="4618" max="4618" width="10.5703125" style="1" customWidth="1"/>
    <col min="4619" max="4619" width="1.140625" style="1" customWidth="1"/>
    <col min="4620" max="4620" width="11.28515625" style="1" customWidth="1"/>
    <col min="4621" max="4621" width="12.7109375" style="1" customWidth="1"/>
    <col min="4622" max="4622" width="11.5703125" style="1" customWidth="1"/>
    <col min="4623" max="4623" width="12.42578125" style="1" customWidth="1"/>
    <col min="4624" max="4624" width="1.5703125" style="1" customWidth="1"/>
    <col min="4625" max="4625" width="11.42578125" style="1" customWidth="1"/>
    <col min="4626" max="4626" width="12.140625" style="1" customWidth="1"/>
    <col min="4627" max="4627" width="1.7109375" style="1" customWidth="1"/>
    <col min="4628" max="4628" width="13.5703125" style="1" customWidth="1"/>
    <col min="4629" max="4865" width="8.85546875" style="1"/>
    <col min="4866" max="4866" width="9.28515625" style="1" customWidth="1"/>
    <col min="4867" max="4867" width="1.7109375" style="1" customWidth="1"/>
    <col min="4868" max="4871" width="12" style="1" customWidth="1"/>
    <col min="4872" max="4872" width="11.85546875" style="1" customWidth="1"/>
    <col min="4873" max="4873" width="10.7109375" style="1" customWidth="1"/>
    <col min="4874" max="4874" width="10.5703125" style="1" customWidth="1"/>
    <col min="4875" max="4875" width="1.140625" style="1" customWidth="1"/>
    <col min="4876" max="4876" width="11.28515625" style="1" customWidth="1"/>
    <col min="4877" max="4877" width="12.7109375" style="1" customWidth="1"/>
    <col min="4878" max="4878" width="11.5703125" style="1" customWidth="1"/>
    <col min="4879" max="4879" width="12.42578125" style="1" customWidth="1"/>
    <col min="4880" max="4880" width="1.5703125" style="1" customWidth="1"/>
    <col min="4881" max="4881" width="11.42578125" style="1" customWidth="1"/>
    <col min="4882" max="4882" width="12.140625" style="1" customWidth="1"/>
    <col min="4883" max="4883" width="1.7109375" style="1" customWidth="1"/>
    <col min="4884" max="4884" width="13.5703125" style="1" customWidth="1"/>
    <col min="4885" max="5121" width="8.85546875" style="1"/>
    <col min="5122" max="5122" width="9.28515625" style="1" customWidth="1"/>
    <col min="5123" max="5123" width="1.7109375" style="1" customWidth="1"/>
    <col min="5124" max="5127" width="12" style="1" customWidth="1"/>
    <col min="5128" max="5128" width="11.85546875" style="1" customWidth="1"/>
    <col min="5129" max="5129" width="10.7109375" style="1" customWidth="1"/>
    <col min="5130" max="5130" width="10.5703125" style="1" customWidth="1"/>
    <col min="5131" max="5131" width="1.140625" style="1" customWidth="1"/>
    <col min="5132" max="5132" width="11.28515625" style="1" customWidth="1"/>
    <col min="5133" max="5133" width="12.7109375" style="1" customWidth="1"/>
    <col min="5134" max="5134" width="11.5703125" style="1" customWidth="1"/>
    <col min="5135" max="5135" width="12.42578125" style="1" customWidth="1"/>
    <col min="5136" max="5136" width="1.5703125" style="1" customWidth="1"/>
    <col min="5137" max="5137" width="11.42578125" style="1" customWidth="1"/>
    <col min="5138" max="5138" width="12.140625" style="1" customWidth="1"/>
    <col min="5139" max="5139" width="1.7109375" style="1" customWidth="1"/>
    <col min="5140" max="5140" width="13.5703125" style="1" customWidth="1"/>
    <col min="5141" max="5377" width="8.85546875" style="1"/>
    <col min="5378" max="5378" width="9.28515625" style="1" customWidth="1"/>
    <col min="5379" max="5379" width="1.7109375" style="1" customWidth="1"/>
    <col min="5380" max="5383" width="12" style="1" customWidth="1"/>
    <col min="5384" max="5384" width="11.85546875" style="1" customWidth="1"/>
    <col min="5385" max="5385" width="10.7109375" style="1" customWidth="1"/>
    <col min="5386" max="5386" width="10.5703125" style="1" customWidth="1"/>
    <col min="5387" max="5387" width="1.140625" style="1" customWidth="1"/>
    <col min="5388" max="5388" width="11.28515625" style="1" customWidth="1"/>
    <col min="5389" max="5389" width="12.7109375" style="1" customWidth="1"/>
    <col min="5390" max="5390" width="11.5703125" style="1" customWidth="1"/>
    <col min="5391" max="5391" width="12.42578125" style="1" customWidth="1"/>
    <col min="5392" max="5392" width="1.5703125" style="1" customWidth="1"/>
    <col min="5393" max="5393" width="11.42578125" style="1" customWidth="1"/>
    <col min="5394" max="5394" width="12.140625" style="1" customWidth="1"/>
    <col min="5395" max="5395" width="1.7109375" style="1" customWidth="1"/>
    <col min="5396" max="5396" width="13.5703125" style="1" customWidth="1"/>
    <col min="5397" max="5633" width="8.85546875" style="1"/>
    <col min="5634" max="5634" width="9.28515625" style="1" customWidth="1"/>
    <col min="5635" max="5635" width="1.7109375" style="1" customWidth="1"/>
    <col min="5636" max="5639" width="12" style="1" customWidth="1"/>
    <col min="5640" max="5640" width="11.85546875" style="1" customWidth="1"/>
    <col min="5641" max="5641" width="10.7109375" style="1" customWidth="1"/>
    <col min="5642" max="5642" width="10.5703125" style="1" customWidth="1"/>
    <col min="5643" max="5643" width="1.140625" style="1" customWidth="1"/>
    <col min="5644" max="5644" width="11.28515625" style="1" customWidth="1"/>
    <col min="5645" max="5645" width="12.7109375" style="1" customWidth="1"/>
    <col min="5646" max="5646" width="11.5703125" style="1" customWidth="1"/>
    <col min="5647" max="5647" width="12.42578125" style="1" customWidth="1"/>
    <col min="5648" max="5648" width="1.5703125" style="1" customWidth="1"/>
    <col min="5649" max="5649" width="11.42578125" style="1" customWidth="1"/>
    <col min="5650" max="5650" width="12.140625" style="1" customWidth="1"/>
    <col min="5651" max="5651" width="1.7109375" style="1" customWidth="1"/>
    <col min="5652" max="5652" width="13.5703125" style="1" customWidth="1"/>
    <col min="5653" max="5889" width="8.85546875" style="1"/>
    <col min="5890" max="5890" width="9.28515625" style="1" customWidth="1"/>
    <col min="5891" max="5891" width="1.7109375" style="1" customWidth="1"/>
    <col min="5892" max="5895" width="12" style="1" customWidth="1"/>
    <col min="5896" max="5896" width="11.85546875" style="1" customWidth="1"/>
    <col min="5897" max="5897" width="10.7109375" style="1" customWidth="1"/>
    <col min="5898" max="5898" width="10.5703125" style="1" customWidth="1"/>
    <col min="5899" max="5899" width="1.140625" style="1" customWidth="1"/>
    <col min="5900" max="5900" width="11.28515625" style="1" customWidth="1"/>
    <col min="5901" max="5901" width="12.7109375" style="1" customWidth="1"/>
    <col min="5902" max="5902" width="11.5703125" style="1" customWidth="1"/>
    <col min="5903" max="5903" width="12.42578125" style="1" customWidth="1"/>
    <col min="5904" max="5904" width="1.5703125" style="1" customWidth="1"/>
    <col min="5905" max="5905" width="11.42578125" style="1" customWidth="1"/>
    <col min="5906" max="5906" width="12.140625" style="1" customWidth="1"/>
    <col min="5907" max="5907" width="1.7109375" style="1" customWidth="1"/>
    <col min="5908" max="5908" width="13.5703125" style="1" customWidth="1"/>
    <col min="5909" max="6145" width="8.85546875" style="1"/>
    <col min="6146" max="6146" width="9.28515625" style="1" customWidth="1"/>
    <col min="6147" max="6147" width="1.7109375" style="1" customWidth="1"/>
    <col min="6148" max="6151" width="12" style="1" customWidth="1"/>
    <col min="6152" max="6152" width="11.85546875" style="1" customWidth="1"/>
    <col min="6153" max="6153" width="10.7109375" style="1" customWidth="1"/>
    <col min="6154" max="6154" width="10.5703125" style="1" customWidth="1"/>
    <col min="6155" max="6155" width="1.140625" style="1" customWidth="1"/>
    <col min="6156" max="6156" width="11.28515625" style="1" customWidth="1"/>
    <col min="6157" max="6157" width="12.7109375" style="1" customWidth="1"/>
    <col min="6158" max="6158" width="11.5703125" style="1" customWidth="1"/>
    <col min="6159" max="6159" width="12.42578125" style="1" customWidth="1"/>
    <col min="6160" max="6160" width="1.5703125" style="1" customWidth="1"/>
    <col min="6161" max="6161" width="11.42578125" style="1" customWidth="1"/>
    <col min="6162" max="6162" width="12.140625" style="1" customWidth="1"/>
    <col min="6163" max="6163" width="1.7109375" style="1" customWidth="1"/>
    <col min="6164" max="6164" width="13.5703125" style="1" customWidth="1"/>
    <col min="6165" max="6401" width="8.85546875" style="1"/>
    <col min="6402" max="6402" width="9.28515625" style="1" customWidth="1"/>
    <col min="6403" max="6403" width="1.7109375" style="1" customWidth="1"/>
    <col min="6404" max="6407" width="12" style="1" customWidth="1"/>
    <col min="6408" max="6408" width="11.85546875" style="1" customWidth="1"/>
    <col min="6409" max="6409" width="10.7109375" style="1" customWidth="1"/>
    <col min="6410" max="6410" width="10.5703125" style="1" customWidth="1"/>
    <col min="6411" max="6411" width="1.140625" style="1" customWidth="1"/>
    <col min="6412" max="6412" width="11.28515625" style="1" customWidth="1"/>
    <col min="6413" max="6413" width="12.7109375" style="1" customWidth="1"/>
    <col min="6414" max="6414" width="11.5703125" style="1" customWidth="1"/>
    <col min="6415" max="6415" width="12.42578125" style="1" customWidth="1"/>
    <col min="6416" max="6416" width="1.5703125" style="1" customWidth="1"/>
    <col min="6417" max="6417" width="11.42578125" style="1" customWidth="1"/>
    <col min="6418" max="6418" width="12.140625" style="1" customWidth="1"/>
    <col min="6419" max="6419" width="1.7109375" style="1" customWidth="1"/>
    <col min="6420" max="6420" width="13.5703125" style="1" customWidth="1"/>
    <col min="6421" max="6657" width="8.85546875" style="1"/>
    <col min="6658" max="6658" width="9.28515625" style="1" customWidth="1"/>
    <col min="6659" max="6659" width="1.7109375" style="1" customWidth="1"/>
    <col min="6660" max="6663" width="12" style="1" customWidth="1"/>
    <col min="6664" max="6664" width="11.85546875" style="1" customWidth="1"/>
    <col min="6665" max="6665" width="10.7109375" style="1" customWidth="1"/>
    <col min="6666" max="6666" width="10.5703125" style="1" customWidth="1"/>
    <col min="6667" max="6667" width="1.140625" style="1" customWidth="1"/>
    <col min="6668" max="6668" width="11.28515625" style="1" customWidth="1"/>
    <col min="6669" max="6669" width="12.7109375" style="1" customWidth="1"/>
    <col min="6670" max="6670" width="11.5703125" style="1" customWidth="1"/>
    <col min="6671" max="6671" width="12.42578125" style="1" customWidth="1"/>
    <col min="6672" max="6672" width="1.5703125" style="1" customWidth="1"/>
    <col min="6673" max="6673" width="11.42578125" style="1" customWidth="1"/>
    <col min="6674" max="6674" width="12.140625" style="1" customWidth="1"/>
    <col min="6675" max="6675" width="1.7109375" style="1" customWidth="1"/>
    <col min="6676" max="6676" width="13.5703125" style="1" customWidth="1"/>
    <col min="6677" max="6913" width="8.85546875" style="1"/>
    <col min="6914" max="6914" width="9.28515625" style="1" customWidth="1"/>
    <col min="6915" max="6915" width="1.7109375" style="1" customWidth="1"/>
    <col min="6916" max="6919" width="12" style="1" customWidth="1"/>
    <col min="6920" max="6920" width="11.85546875" style="1" customWidth="1"/>
    <col min="6921" max="6921" width="10.7109375" style="1" customWidth="1"/>
    <col min="6922" max="6922" width="10.5703125" style="1" customWidth="1"/>
    <col min="6923" max="6923" width="1.140625" style="1" customWidth="1"/>
    <col min="6924" max="6924" width="11.28515625" style="1" customWidth="1"/>
    <col min="6925" max="6925" width="12.7109375" style="1" customWidth="1"/>
    <col min="6926" max="6926" width="11.5703125" style="1" customWidth="1"/>
    <col min="6927" max="6927" width="12.42578125" style="1" customWidth="1"/>
    <col min="6928" max="6928" width="1.5703125" style="1" customWidth="1"/>
    <col min="6929" max="6929" width="11.42578125" style="1" customWidth="1"/>
    <col min="6930" max="6930" width="12.140625" style="1" customWidth="1"/>
    <col min="6931" max="6931" width="1.7109375" style="1" customWidth="1"/>
    <col min="6932" max="6932" width="13.5703125" style="1" customWidth="1"/>
    <col min="6933" max="7169" width="8.85546875" style="1"/>
    <col min="7170" max="7170" width="9.28515625" style="1" customWidth="1"/>
    <col min="7171" max="7171" width="1.7109375" style="1" customWidth="1"/>
    <col min="7172" max="7175" width="12" style="1" customWidth="1"/>
    <col min="7176" max="7176" width="11.85546875" style="1" customWidth="1"/>
    <col min="7177" max="7177" width="10.7109375" style="1" customWidth="1"/>
    <col min="7178" max="7178" width="10.5703125" style="1" customWidth="1"/>
    <col min="7179" max="7179" width="1.140625" style="1" customWidth="1"/>
    <col min="7180" max="7180" width="11.28515625" style="1" customWidth="1"/>
    <col min="7181" max="7181" width="12.7109375" style="1" customWidth="1"/>
    <col min="7182" max="7182" width="11.5703125" style="1" customWidth="1"/>
    <col min="7183" max="7183" width="12.42578125" style="1" customWidth="1"/>
    <col min="7184" max="7184" width="1.5703125" style="1" customWidth="1"/>
    <col min="7185" max="7185" width="11.42578125" style="1" customWidth="1"/>
    <col min="7186" max="7186" width="12.140625" style="1" customWidth="1"/>
    <col min="7187" max="7187" width="1.7109375" style="1" customWidth="1"/>
    <col min="7188" max="7188" width="13.5703125" style="1" customWidth="1"/>
    <col min="7189" max="7425" width="8.85546875" style="1"/>
    <col min="7426" max="7426" width="9.28515625" style="1" customWidth="1"/>
    <col min="7427" max="7427" width="1.7109375" style="1" customWidth="1"/>
    <col min="7428" max="7431" width="12" style="1" customWidth="1"/>
    <col min="7432" max="7432" width="11.85546875" style="1" customWidth="1"/>
    <col min="7433" max="7433" width="10.7109375" style="1" customWidth="1"/>
    <col min="7434" max="7434" width="10.5703125" style="1" customWidth="1"/>
    <col min="7435" max="7435" width="1.140625" style="1" customWidth="1"/>
    <col min="7436" max="7436" width="11.28515625" style="1" customWidth="1"/>
    <col min="7437" max="7437" width="12.7109375" style="1" customWidth="1"/>
    <col min="7438" max="7438" width="11.5703125" style="1" customWidth="1"/>
    <col min="7439" max="7439" width="12.42578125" style="1" customWidth="1"/>
    <col min="7440" max="7440" width="1.5703125" style="1" customWidth="1"/>
    <col min="7441" max="7441" width="11.42578125" style="1" customWidth="1"/>
    <col min="7442" max="7442" width="12.140625" style="1" customWidth="1"/>
    <col min="7443" max="7443" width="1.7109375" style="1" customWidth="1"/>
    <col min="7444" max="7444" width="13.5703125" style="1" customWidth="1"/>
    <col min="7445" max="7681" width="8.85546875" style="1"/>
    <col min="7682" max="7682" width="9.28515625" style="1" customWidth="1"/>
    <col min="7683" max="7683" width="1.7109375" style="1" customWidth="1"/>
    <col min="7684" max="7687" width="12" style="1" customWidth="1"/>
    <col min="7688" max="7688" width="11.85546875" style="1" customWidth="1"/>
    <col min="7689" max="7689" width="10.7109375" style="1" customWidth="1"/>
    <col min="7690" max="7690" width="10.5703125" style="1" customWidth="1"/>
    <col min="7691" max="7691" width="1.140625" style="1" customWidth="1"/>
    <col min="7692" max="7692" width="11.28515625" style="1" customWidth="1"/>
    <col min="7693" max="7693" width="12.7109375" style="1" customWidth="1"/>
    <col min="7694" max="7694" width="11.5703125" style="1" customWidth="1"/>
    <col min="7695" max="7695" width="12.42578125" style="1" customWidth="1"/>
    <col min="7696" max="7696" width="1.5703125" style="1" customWidth="1"/>
    <col min="7697" max="7697" width="11.42578125" style="1" customWidth="1"/>
    <col min="7698" max="7698" width="12.140625" style="1" customWidth="1"/>
    <col min="7699" max="7699" width="1.7109375" style="1" customWidth="1"/>
    <col min="7700" max="7700" width="13.5703125" style="1" customWidth="1"/>
    <col min="7701" max="7937" width="8.85546875" style="1"/>
    <col min="7938" max="7938" width="9.28515625" style="1" customWidth="1"/>
    <col min="7939" max="7939" width="1.7109375" style="1" customWidth="1"/>
    <col min="7940" max="7943" width="12" style="1" customWidth="1"/>
    <col min="7944" max="7944" width="11.85546875" style="1" customWidth="1"/>
    <col min="7945" max="7945" width="10.7109375" style="1" customWidth="1"/>
    <col min="7946" max="7946" width="10.5703125" style="1" customWidth="1"/>
    <col min="7947" max="7947" width="1.140625" style="1" customWidth="1"/>
    <col min="7948" max="7948" width="11.28515625" style="1" customWidth="1"/>
    <col min="7949" max="7949" width="12.7109375" style="1" customWidth="1"/>
    <col min="7950" max="7950" width="11.5703125" style="1" customWidth="1"/>
    <col min="7951" max="7951" width="12.42578125" style="1" customWidth="1"/>
    <col min="7952" max="7952" width="1.5703125" style="1" customWidth="1"/>
    <col min="7953" max="7953" width="11.42578125" style="1" customWidth="1"/>
    <col min="7954" max="7954" width="12.140625" style="1" customWidth="1"/>
    <col min="7955" max="7955" width="1.7109375" style="1" customWidth="1"/>
    <col min="7956" max="7956" width="13.5703125" style="1" customWidth="1"/>
    <col min="7957" max="8193" width="8.85546875" style="1"/>
    <col min="8194" max="8194" width="9.28515625" style="1" customWidth="1"/>
    <col min="8195" max="8195" width="1.7109375" style="1" customWidth="1"/>
    <col min="8196" max="8199" width="12" style="1" customWidth="1"/>
    <col min="8200" max="8200" width="11.85546875" style="1" customWidth="1"/>
    <col min="8201" max="8201" width="10.7109375" style="1" customWidth="1"/>
    <col min="8202" max="8202" width="10.5703125" style="1" customWidth="1"/>
    <col min="8203" max="8203" width="1.140625" style="1" customWidth="1"/>
    <col min="8204" max="8204" width="11.28515625" style="1" customWidth="1"/>
    <col min="8205" max="8205" width="12.7109375" style="1" customWidth="1"/>
    <col min="8206" max="8206" width="11.5703125" style="1" customWidth="1"/>
    <col min="8207" max="8207" width="12.42578125" style="1" customWidth="1"/>
    <col min="8208" max="8208" width="1.5703125" style="1" customWidth="1"/>
    <col min="8209" max="8209" width="11.42578125" style="1" customWidth="1"/>
    <col min="8210" max="8210" width="12.140625" style="1" customWidth="1"/>
    <col min="8211" max="8211" width="1.7109375" style="1" customWidth="1"/>
    <col min="8212" max="8212" width="13.5703125" style="1" customWidth="1"/>
    <col min="8213" max="8449" width="8.85546875" style="1"/>
    <col min="8450" max="8450" width="9.28515625" style="1" customWidth="1"/>
    <col min="8451" max="8451" width="1.7109375" style="1" customWidth="1"/>
    <col min="8452" max="8455" width="12" style="1" customWidth="1"/>
    <col min="8456" max="8456" width="11.85546875" style="1" customWidth="1"/>
    <col min="8457" max="8457" width="10.7109375" style="1" customWidth="1"/>
    <col min="8458" max="8458" width="10.5703125" style="1" customWidth="1"/>
    <col min="8459" max="8459" width="1.140625" style="1" customWidth="1"/>
    <col min="8460" max="8460" width="11.28515625" style="1" customWidth="1"/>
    <col min="8461" max="8461" width="12.7109375" style="1" customWidth="1"/>
    <col min="8462" max="8462" width="11.5703125" style="1" customWidth="1"/>
    <col min="8463" max="8463" width="12.42578125" style="1" customWidth="1"/>
    <col min="8464" max="8464" width="1.5703125" style="1" customWidth="1"/>
    <col min="8465" max="8465" width="11.42578125" style="1" customWidth="1"/>
    <col min="8466" max="8466" width="12.140625" style="1" customWidth="1"/>
    <col min="8467" max="8467" width="1.7109375" style="1" customWidth="1"/>
    <col min="8468" max="8468" width="13.5703125" style="1" customWidth="1"/>
    <col min="8469" max="8705" width="8.85546875" style="1"/>
    <col min="8706" max="8706" width="9.28515625" style="1" customWidth="1"/>
    <col min="8707" max="8707" width="1.7109375" style="1" customWidth="1"/>
    <col min="8708" max="8711" width="12" style="1" customWidth="1"/>
    <col min="8712" max="8712" width="11.85546875" style="1" customWidth="1"/>
    <col min="8713" max="8713" width="10.7109375" style="1" customWidth="1"/>
    <col min="8714" max="8714" width="10.5703125" style="1" customWidth="1"/>
    <col min="8715" max="8715" width="1.140625" style="1" customWidth="1"/>
    <col min="8716" max="8716" width="11.28515625" style="1" customWidth="1"/>
    <col min="8717" max="8717" width="12.7109375" style="1" customWidth="1"/>
    <col min="8718" max="8718" width="11.5703125" style="1" customWidth="1"/>
    <col min="8719" max="8719" width="12.42578125" style="1" customWidth="1"/>
    <col min="8720" max="8720" width="1.5703125" style="1" customWidth="1"/>
    <col min="8721" max="8721" width="11.42578125" style="1" customWidth="1"/>
    <col min="8722" max="8722" width="12.140625" style="1" customWidth="1"/>
    <col min="8723" max="8723" width="1.7109375" style="1" customWidth="1"/>
    <col min="8724" max="8724" width="13.5703125" style="1" customWidth="1"/>
    <col min="8725" max="8961" width="8.85546875" style="1"/>
    <col min="8962" max="8962" width="9.28515625" style="1" customWidth="1"/>
    <col min="8963" max="8963" width="1.7109375" style="1" customWidth="1"/>
    <col min="8964" max="8967" width="12" style="1" customWidth="1"/>
    <col min="8968" max="8968" width="11.85546875" style="1" customWidth="1"/>
    <col min="8969" max="8969" width="10.7109375" style="1" customWidth="1"/>
    <col min="8970" max="8970" width="10.5703125" style="1" customWidth="1"/>
    <col min="8971" max="8971" width="1.140625" style="1" customWidth="1"/>
    <col min="8972" max="8972" width="11.28515625" style="1" customWidth="1"/>
    <col min="8973" max="8973" width="12.7109375" style="1" customWidth="1"/>
    <col min="8974" max="8974" width="11.5703125" style="1" customWidth="1"/>
    <col min="8975" max="8975" width="12.42578125" style="1" customWidth="1"/>
    <col min="8976" max="8976" width="1.5703125" style="1" customWidth="1"/>
    <col min="8977" max="8977" width="11.42578125" style="1" customWidth="1"/>
    <col min="8978" max="8978" width="12.140625" style="1" customWidth="1"/>
    <col min="8979" max="8979" width="1.7109375" style="1" customWidth="1"/>
    <col min="8980" max="8980" width="13.5703125" style="1" customWidth="1"/>
    <col min="8981" max="9217" width="8.85546875" style="1"/>
    <col min="9218" max="9218" width="9.28515625" style="1" customWidth="1"/>
    <col min="9219" max="9219" width="1.7109375" style="1" customWidth="1"/>
    <col min="9220" max="9223" width="12" style="1" customWidth="1"/>
    <col min="9224" max="9224" width="11.85546875" style="1" customWidth="1"/>
    <col min="9225" max="9225" width="10.7109375" style="1" customWidth="1"/>
    <col min="9226" max="9226" width="10.5703125" style="1" customWidth="1"/>
    <col min="9227" max="9227" width="1.140625" style="1" customWidth="1"/>
    <col min="9228" max="9228" width="11.28515625" style="1" customWidth="1"/>
    <col min="9229" max="9229" width="12.7109375" style="1" customWidth="1"/>
    <col min="9230" max="9230" width="11.5703125" style="1" customWidth="1"/>
    <col min="9231" max="9231" width="12.42578125" style="1" customWidth="1"/>
    <col min="9232" max="9232" width="1.5703125" style="1" customWidth="1"/>
    <col min="9233" max="9233" width="11.42578125" style="1" customWidth="1"/>
    <col min="9234" max="9234" width="12.140625" style="1" customWidth="1"/>
    <col min="9235" max="9235" width="1.7109375" style="1" customWidth="1"/>
    <col min="9236" max="9236" width="13.5703125" style="1" customWidth="1"/>
    <col min="9237" max="9473" width="8.85546875" style="1"/>
    <col min="9474" max="9474" width="9.28515625" style="1" customWidth="1"/>
    <col min="9475" max="9475" width="1.7109375" style="1" customWidth="1"/>
    <col min="9476" max="9479" width="12" style="1" customWidth="1"/>
    <col min="9480" max="9480" width="11.85546875" style="1" customWidth="1"/>
    <col min="9481" max="9481" width="10.7109375" style="1" customWidth="1"/>
    <col min="9482" max="9482" width="10.5703125" style="1" customWidth="1"/>
    <col min="9483" max="9483" width="1.140625" style="1" customWidth="1"/>
    <col min="9484" max="9484" width="11.28515625" style="1" customWidth="1"/>
    <col min="9485" max="9485" width="12.7109375" style="1" customWidth="1"/>
    <col min="9486" max="9486" width="11.5703125" style="1" customWidth="1"/>
    <col min="9487" max="9487" width="12.42578125" style="1" customWidth="1"/>
    <col min="9488" max="9488" width="1.5703125" style="1" customWidth="1"/>
    <col min="9489" max="9489" width="11.42578125" style="1" customWidth="1"/>
    <col min="9490" max="9490" width="12.140625" style="1" customWidth="1"/>
    <col min="9491" max="9491" width="1.7109375" style="1" customWidth="1"/>
    <col min="9492" max="9492" width="13.5703125" style="1" customWidth="1"/>
    <col min="9493" max="9729" width="8.85546875" style="1"/>
    <col min="9730" max="9730" width="9.28515625" style="1" customWidth="1"/>
    <col min="9731" max="9731" width="1.7109375" style="1" customWidth="1"/>
    <col min="9732" max="9735" width="12" style="1" customWidth="1"/>
    <col min="9736" max="9736" width="11.85546875" style="1" customWidth="1"/>
    <col min="9737" max="9737" width="10.7109375" style="1" customWidth="1"/>
    <col min="9738" max="9738" width="10.5703125" style="1" customWidth="1"/>
    <col min="9739" max="9739" width="1.140625" style="1" customWidth="1"/>
    <col min="9740" max="9740" width="11.28515625" style="1" customWidth="1"/>
    <col min="9741" max="9741" width="12.7109375" style="1" customWidth="1"/>
    <col min="9742" max="9742" width="11.5703125" style="1" customWidth="1"/>
    <col min="9743" max="9743" width="12.42578125" style="1" customWidth="1"/>
    <col min="9744" max="9744" width="1.5703125" style="1" customWidth="1"/>
    <col min="9745" max="9745" width="11.42578125" style="1" customWidth="1"/>
    <col min="9746" max="9746" width="12.140625" style="1" customWidth="1"/>
    <col min="9747" max="9747" width="1.7109375" style="1" customWidth="1"/>
    <col min="9748" max="9748" width="13.5703125" style="1" customWidth="1"/>
    <col min="9749" max="9985" width="8.85546875" style="1"/>
    <col min="9986" max="9986" width="9.28515625" style="1" customWidth="1"/>
    <col min="9987" max="9987" width="1.7109375" style="1" customWidth="1"/>
    <col min="9988" max="9991" width="12" style="1" customWidth="1"/>
    <col min="9992" max="9992" width="11.85546875" style="1" customWidth="1"/>
    <col min="9993" max="9993" width="10.7109375" style="1" customWidth="1"/>
    <col min="9994" max="9994" width="10.5703125" style="1" customWidth="1"/>
    <col min="9995" max="9995" width="1.140625" style="1" customWidth="1"/>
    <col min="9996" max="9996" width="11.28515625" style="1" customWidth="1"/>
    <col min="9997" max="9997" width="12.7109375" style="1" customWidth="1"/>
    <col min="9998" max="9998" width="11.5703125" style="1" customWidth="1"/>
    <col min="9999" max="9999" width="12.42578125" style="1" customWidth="1"/>
    <col min="10000" max="10000" width="1.5703125" style="1" customWidth="1"/>
    <col min="10001" max="10001" width="11.42578125" style="1" customWidth="1"/>
    <col min="10002" max="10002" width="12.140625" style="1" customWidth="1"/>
    <col min="10003" max="10003" width="1.7109375" style="1" customWidth="1"/>
    <col min="10004" max="10004" width="13.5703125" style="1" customWidth="1"/>
    <col min="10005" max="10241" width="8.85546875" style="1"/>
    <col min="10242" max="10242" width="9.28515625" style="1" customWidth="1"/>
    <col min="10243" max="10243" width="1.7109375" style="1" customWidth="1"/>
    <col min="10244" max="10247" width="12" style="1" customWidth="1"/>
    <col min="10248" max="10248" width="11.85546875" style="1" customWidth="1"/>
    <col min="10249" max="10249" width="10.7109375" style="1" customWidth="1"/>
    <col min="10250" max="10250" width="10.5703125" style="1" customWidth="1"/>
    <col min="10251" max="10251" width="1.140625" style="1" customWidth="1"/>
    <col min="10252" max="10252" width="11.28515625" style="1" customWidth="1"/>
    <col min="10253" max="10253" width="12.7109375" style="1" customWidth="1"/>
    <col min="10254" max="10254" width="11.5703125" style="1" customWidth="1"/>
    <col min="10255" max="10255" width="12.42578125" style="1" customWidth="1"/>
    <col min="10256" max="10256" width="1.5703125" style="1" customWidth="1"/>
    <col min="10257" max="10257" width="11.42578125" style="1" customWidth="1"/>
    <col min="10258" max="10258" width="12.140625" style="1" customWidth="1"/>
    <col min="10259" max="10259" width="1.7109375" style="1" customWidth="1"/>
    <col min="10260" max="10260" width="13.5703125" style="1" customWidth="1"/>
    <col min="10261" max="10497" width="8.85546875" style="1"/>
    <col min="10498" max="10498" width="9.28515625" style="1" customWidth="1"/>
    <col min="10499" max="10499" width="1.7109375" style="1" customWidth="1"/>
    <col min="10500" max="10503" width="12" style="1" customWidth="1"/>
    <col min="10504" max="10504" width="11.85546875" style="1" customWidth="1"/>
    <col min="10505" max="10505" width="10.7109375" style="1" customWidth="1"/>
    <col min="10506" max="10506" width="10.5703125" style="1" customWidth="1"/>
    <col min="10507" max="10507" width="1.140625" style="1" customWidth="1"/>
    <col min="10508" max="10508" width="11.28515625" style="1" customWidth="1"/>
    <col min="10509" max="10509" width="12.7109375" style="1" customWidth="1"/>
    <col min="10510" max="10510" width="11.5703125" style="1" customWidth="1"/>
    <col min="10511" max="10511" width="12.42578125" style="1" customWidth="1"/>
    <col min="10512" max="10512" width="1.5703125" style="1" customWidth="1"/>
    <col min="10513" max="10513" width="11.42578125" style="1" customWidth="1"/>
    <col min="10514" max="10514" width="12.140625" style="1" customWidth="1"/>
    <col min="10515" max="10515" width="1.7109375" style="1" customWidth="1"/>
    <col min="10516" max="10516" width="13.5703125" style="1" customWidth="1"/>
    <col min="10517" max="10753" width="8.85546875" style="1"/>
    <col min="10754" max="10754" width="9.28515625" style="1" customWidth="1"/>
    <col min="10755" max="10755" width="1.7109375" style="1" customWidth="1"/>
    <col min="10756" max="10759" width="12" style="1" customWidth="1"/>
    <col min="10760" max="10760" width="11.85546875" style="1" customWidth="1"/>
    <col min="10761" max="10761" width="10.7109375" style="1" customWidth="1"/>
    <col min="10762" max="10762" width="10.5703125" style="1" customWidth="1"/>
    <col min="10763" max="10763" width="1.140625" style="1" customWidth="1"/>
    <col min="10764" max="10764" width="11.28515625" style="1" customWidth="1"/>
    <col min="10765" max="10765" width="12.7109375" style="1" customWidth="1"/>
    <col min="10766" max="10766" width="11.5703125" style="1" customWidth="1"/>
    <col min="10767" max="10767" width="12.42578125" style="1" customWidth="1"/>
    <col min="10768" max="10768" width="1.5703125" style="1" customWidth="1"/>
    <col min="10769" max="10769" width="11.42578125" style="1" customWidth="1"/>
    <col min="10770" max="10770" width="12.140625" style="1" customWidth="1"/>
    <col min="10771" max="10771" width="1.7109375" style="1" customWidth="1"/>
    <col min="10772" max="10772" width="13.5703125" style="1" customWidth="1"/>
    <col min="10773" max="11009" width="8.85546875" style="1"/>
    <col min="11010" max="11010" width="9.28515625" style="1" customWidth="1"/>
    <col min="11011" max="11011" width="1.7109375" style="1" customWidth="1"/>
    <col min="11012" max="11015" width="12" style="1" customWidth="1"/>
    <col min="11016" max="11016" width="11.85546875" style="1" customWidth="1"/>
    <col min="11017" max="11017" width="10.7109375" style="1" customWidth="1"/>
    <col min="11018" max="11018" width="10.5703125" style="1" customWidth="1"/>
    <col min="11019" max="11019" width="1.140625" style="1" customWidth="1"/>
    <col min="11020" max="11020" width="11.28515625" style="1" customWidth="1"/>
    <col min="11021" max="11021" width="12.7109375" style="1" customWidth="1"/>
    <col min="11022" max="11022" width="11.5703125" style="1" customWidth="1"/>
    <col min="11023" max="11023" width="12.42578125" style="1" customWidth="1"/>
    <col min="11024" max="11024" width="1.5703125" style="1" customWidth="1"/>
    <col min="11025" max="11025" width="11.42578125" style="1" customWidth="1"/>
    <col min="11026" max="11026" width="12.140625" style="1" customWidth="1"/>
    <col min="11027" max="11027" width="1.7109375" style="1" customWidth="1"/>
    <col min="11028" max="11028" width="13.5703125" style="1" customWidth="1"/>
    <col min="11029" max="11265" width="8.85546875" style="1"/>
    <col min="11266" max="11266" width="9.28515625" style="1" customWidth="1"/>
    <col min="11267" max="11267" width="1.7109375" style="1" customWidth="1"/>
    <col min="11268" max="11271" width="12" style="1" customWidth="1"/>
    <col min="11272" max="11272" width="11.85546875" style="1" customWidth="1"/>
    <col min="11273" max="11273" width="10.7109375" style="1" customWidth="1"/>
    <col min="11274" max="11274" width="10.5703125" style="1" customWidth="1"/>
    <col min="11275" max="11275" width="1.140625" style="1" customWidth="1"/>
    <col min="11276" max="11276" width="11.28515625" style="1" customWidth="1"/>
    <col min="11277" max="11277" width="12.7109375" style="1" customWidth="1"/>
    <col min="11278" max="11278" width="11.5703125" style="1" customWidth="1"/>
    <col min="11279" max="11279" width="12.42578125" style="1" customWidth="1"/>
    <col min="11280" max="11280" width="1.5703125" style="1" customWidth="1"/>
    <col min="11281" max="11281" width="11.42578125" style="1" customWidth="1"/>
    <col min="11282" max="11282" width="12.140625" style="1" customWidth="1"/>
    <col min="11283" max="11283" width="1.7109375" style="1" customWidth="1"/>
    <col min="11284" max="11284" width="13.5703125" style="1" customWidth="1"/>
    <col min="11285" max="11521" width="8.85546875" style="1"/>
    <col min="11522" max="11522" width="9.28515625" style="1" customWidth="1"/>
    <col min="11523" max="11523" width="1.7109375" style="1" customWidth="1"/>
    <col min="11524" max="11527" width="12" style="1" customWidth="1"/>
    <col min="11528" max="11528" width="11.85546875" style="1" customWidth="1"/>
    <col min="11529" max="11529" width="10.7109375" style="1" customWidth="1"/>
    <col min="11530" max="11530" width="10.5703125" style="1" customWidth="1"/>
    <col min="11531" max="11531" width="1.140625" style="1" customWidth="1"/>
    <col min="11532" max="11532" width="11.28515625" style="1" customWidth="1"/>
    <col min="11533" max="11533" width="12.7109375" style="1" customWidth="1"/>
    <col min="11534" max="11534" width="11.5703125" style="1" customWidth="1"/>
    <col min="11535" max="11535" width="12.42578125" style="1" customWidth="1"/>
    <col min="11536" max="11536" width="1.5703125" style="1" customWidth="1"/>
    <col min="11537" max="11537" width="11.42578125" style="1" customWidth="1"/>
    <col min="11538" max="11538" width="12.140625" style="1" customWidth="1"/>
    <col min="11539" max="11539" width="1.7109375" style="1" customWidth="1"/>
    <col min="11540" max="11540" width="13.5703125" style="1" customWidth="1"/>
    <col min="11541" max="11777" width="8.85546875" style="1"/>
    <col min="11778" max="11778" width="9.28515625" style="1" customWidth="1"/>
    <col min="11779" max="11779" width="1.7109375" style="1" customWidth="1"/>
    <col min="11780" max="11783" width="12" style="1" customWidth="1"/>
    <col min="11784" max="11784" width="11.85546875" style="1" customWidth="1"/>
    <col min="11785" max="11785" width="10.7109375" style="1" customWidth="1"/>
    <col min="11786" max="11786" width="10.5703125" style="1" customWidth="1"/>
    <col min="11787" max="11787" width="1.140625" style="1" customWidth="1"/>
    <col min="11788" max="11788" width="11.28515625" style="1" customWidth="1"/>
    <col min="11789" max="11789" width="12.7109375" style="1" customWidth="1"/>
    <col min="11790" max="11790" width="11.5703125" style="1" customWidth="1"/>
    <col min="11791" max="11791" width="12.42578125" style="1" customWidth="1"/>
    <col min="11792" max="11792" width="1.5703125" style="1" customWidth="1"/>
    <col min="11793" max="11793" width="11.42578125" style="1" customWidth="1"/>
    <col min="11794" max="11794" width="12.140625" style="1" customWidth="1"/>
    <col min="11795" max="11795" width="1.7109375" style="1" customWidth="1"/>
    <col min="11796" max="11796" width="13.5703125" style="1" customWidth="1"/>
    <col min="11797" max="12033" width="8.85546875" style="1"/>
    <col min="12034" max="12034" width="9.28515625" style="1" customWidth="1"/>
    <col min="12035" max="12035" width="1.7109375" style="1" customWidth="1"/>
    <col min="12036" max="12039" width="12" style="1" customWidth="1"/>
    <col min="12040" max="12040" width="11.85546875" style="1" customWidth="1"/>
    <col min="12041" max="12041" width="10.7109375" style="1" customWidth="1"/>
    <col min="12042" max="12042" width="10.5703125" style="1" customWidth="1"/>
    <col min="12043" max="12043" width="1.140625" style="1" customWidth="1"/>
    <col min="12044" max="12044" width="11.28515625" style="1" customWidth="1"/>
    <col min="12045" max="12045" width="12.7109375" style="1" customWidth="1"/>
    <col min="12046" max="12046" width="11.5703125" style="1" customWidth="1"/>
    <col min="12047" max="12047" width="12.42578125" style="1" customWidth="1"/>
    <col min="12048" max="12048" width="1.5703125" style="1" customWidth="1"/>
    <col min="12049" max="12049" width="11.42578125" style="1" customWidth="1"/>
    <col min="12050" max="12050" width="12.140625" style="1" customWidth="1"/>
    <col min="12051" max="12051" width="1.7109375" style="1" customWidth="1"/>
    <col min="12052" max="12052" width="13.5703125" style="1" customWidth="1"/>
    <col min="12053" max="12289" width="8.85546875" style="1"/>
    <col min="12290" max="12290" width="9.28515625" style="1" customWidth="1"/>
    <col min="12291" max="12291" width="1.7109375" style="1" customWidth="1"/>
    <col min="12292" max="12295" width="12" style="1" customWidth="1"/>
    <col min="12296" max="12296" width="11.85546875" style="1" customWidth="1"/>
    <col min="12297" max="12297" width="10.7109375" style="1" customWidth="1"/>
    <col min="12298" max="12298" width="10.5703125" style="1" customWidth="1"/>
    <col min="12299" max="12299" width="1.140625" style="1" customWidth="1"/>
    <col min="12300" max="12300" width="11.28515625" style="1" customWidth="1"/>
    <col min="12301" max="12301" width="12.7109375" style="1" customWidth="1"/>
    <col min="12302" max="12302" width="11.5703125" style="1" customWidth="1"/>
    <col min="12303" max="12303" width="12.42578125" style="1" customWidth="1"/>
    <col min="12304" max="12304" width="1.5703125" style="1" customWidth="1"/>
    <col min="12305" max="12305" width="11.42578125" style="1" customWidth="1"/>
    <col min="12306" max="12306" width="12.140625" style="1" customWidth="1"/>
    <col min="12307" max="12307" width="1.7109375" style="1" customWidth="1"/>
    <col min="12308" max="12308" width="13.5703125" style="1" customWidth="1"/>
    <col min="12309" max="12545" width="8.85546875" style="1"/>
    <col min="12546" max="12546" width="9.28515625" style="1" customWidth="1"/>
    <col min="12547" max="12547" width="1.7109375" style="1" customWidth="1"/>
    <col min="12548" max="12551" width="12" style="1" customWidth="1"/>
    <col min="12552" max="12552" width="11.85546875" style="1" customWidth="1"/>
    <col min="12553" max="12553" width="10.7109375" style="1" customWidth="1"/>
    <col min="12554" max="12554" width="10.5703125" style="1" customWidth="1"/>
    <col min="12555" max="12555" width="1.140625" style="1" customWidth="1"/>
    <col min="12556" max="12556" width="11.28515625" style="1" customWidth="1"/>
    <col min="12557" max="12557" width="12.7109375" style="1" customWidth="1"/>
    <col min="12558" max="12558" width="11.5703125" style="1" customWidth="1"/>
    <col min="12559" max="12559" width="12.42578125" style="1" customWidth="1"/>
    <col min="12560" max="12560" width="1.5703125" style="1" customWidth="1"/>
    <col min="12561" max="12561" width="11.42578125" style="1" customWidth="1"/>
    <col min="12562" max="12562" width="12.140625" style="1" customWidth="1"/>
    <col min="12563" max="12563" width="1.7109375" style="1" customWidth="1"/>
    <col min="12564" max="12564" width="13.5703125" style="1" customWidth="1"/>
    <col min="12565" max="12801" width="8.85546875" style="1"/>
    <col min="12802" max="12802" width="9.28515625" style="1" customWidth="1"/>
    <col min="12803" max="12803" width="1.7109375" style="1" customWidth="1"/>
    <col min="12804" max="12807" width="12" style="1" customWidth="1"/>
    <col min="12808" max="12808" width="11.85546875" style="1" customWidth="1"/>
    <col min="12809" max="12809" width="10.7109375" style="1" customWidth="1"/>
    <col min="12810" max="12810" width="10.5703125" style="1" customWidth="1"/>
    <col min="12811" max="12811" width="1.140625" style="1" customWidth="1"/>
    <col min="12812" max="12812" width="11.28515625" style="1" customWidth="1"/>
    <col min="12813" max="12813" width="12.7109375" style="1" customWidth="1"/>
    <col min="12814" max="12814" width="11.5703125" style="1" customWidth="1"/>
    <col min="12815" max="12815" width="12.42578125" style="1" customWidth="1"/>
    <col min="12816" max="12816" width="1.5703125" style="1" customWidth="1"/>
    <col min="12817" max="12817" width="11.42578125" style="1" customWidth="1"/>
    <col min="12818" max="12818" width="12.140625" style="1" customWidth="1"/>
    <col min="12819" max="12819" width="1.7109375" style="1" customWidth="1"/>
    <col min="12820" max="12820" width="13.5703125" style="1" customWidth="1"/>
    <col min="12821" max="13057" width="8.85546875" style="1"/>
    <col min="13058" max="13058" width="9.28515625" style="1" customWidth="1"/>
    <col min="13059" max="13059" width="1.7109375" style="1" customWidth="1"/>
    <col min="13060" max="13063" width="12" style="1" customWidth="1"/>
    <col min="13064" max="13064" width="11.85546875" style="1" customWidth="1"/>
    <col min="13065" max="13065" width="10.7109375" style="1" customWidth="1"/>
    <col min="13066" max="13066" width="10.5703125" style="1" customWidth="1"/>
    <col min="13067" max="13067" width="1.140625" style="1" customWidth="1"/>
    <col min="13068" max="13068" width="11.28515625" style="1" customWidth="1"/>
    <col min="13069" max="13069" width="12.7109375" style="1" customWidth="1"/>
    <col min="13070" max="13070" width="11.5703125" style="1" customWidth="1"/>
    <col min="13071" max="13071" width="12.42578125" style="1" customWidth="1"/>
    <col min="13072" max="13072" width="1.5703125" style="1" customWidth="1"/>
    <col min="13073" max="13073" width="11.42578125" style="1" customWidth="1"/>
    <col min="13074" max="13074" width="12.140625" style="1" customWidth="1"/>
    <col min="13075" max="13075" width="1.7109375" style="1" customWidth="1"/>
    <col min="13076" max="13076" width="13.5703125" style="1" customWidth="1"/>
    <col min="13077" max="13313" width="8.85546875" style="1"/>
    <col min="13314" max="13314" width="9.28515625" style="1" customWidth="1"/>
    <col min="13315" max="13315" width="1.7109375" style="1" customWidth="1"/>
    <col min="13316" max="13319" width="12" style="1" customWidth="1"/>
    <col min="13320" max="13320" width="11.85546875" style="1" customWidth="1"/>
    <col min="13321" max="13321" width="10.7109375" style="1" customWidth="1"/>
    <col min="13322" max="13322" width="10.5703125" style="1" customWidth="1"/>
    <col min="13323" max="13323" width="1.140625" style="1" customWidth="1"/>
    <col min="13324" max="13324" width="11.28515625" style="1" customWidth="1"/>
    <col min="13325" max="13325" width="12.7109375" style="1" customWidth="1"/>
    <col min="13326" max="13326" width="11.5703125" style="1" customWidth="1"/>
    <col min="13327" max="13327" width="12.42578125" style="1" customWidth="1"/>
    <col min="13328" max="13328" width="1.5703125" style="1" customWidth="1"/>
    <col min="13329" max="13329" width="11.42578125" style="1" customWidth="1"/>
    <col min="13330" max="13330" width="12.140625" style="1" customWidth="1"/>
    <col min="13331" max="13331" width="1.7109375" style="1" customWidth="1"/>
    <col min="13332" max="13332" width="13.5703125" style="1" customWidth="1"/>
    <col min="13333" max="13569" width="8.85546875" style="1"/>
    <col min="13570" max="13570" width="9.28515625" style="1" customWidth="1"/>
    <col min="13571" max="13571" width="1.7109375" style="1" customWidth="1"/>
    <col min="13572" max="13575" width="12" style="1" customWidth="1"/>
    <col min="13576" max="13576" width="11.85546875" style="1" customWidth="1"/>
    <col min="13577" max="13577" width="10.7109375" style="1" customWidth="1"/>
    <col min="13578" max="13578" width="10.5703125" style="1" customWidth="1"/>
    <col min="13579" max="13579" width="1.140625" style="1" customWidth="1"/>
    <col min="13580" max="13580" width="11.28515625" style="1" customWidth="1"/>
    <col min="13581" max="13581" width="12.7109375" style="1" customWidth="1"/>
    <col min="13582" max="13582" width="11.5703125" style="1" customWidth="1"/>
    <col min="13583" max="13583" width="12.42578125" style="1" customWidth="1"/>
    <col min="13584" max="13584" width="1.5703125" style="1" customWidth="1"/>
    <col min="13585" max="13585" width="11.42578125" style="1" customWidth="1"/>
    <col min="13586" max="13586" width="12.140625" style="1" customWidth="1"/>
    <col min="13587" max="13587" width="1.7109375" style="1" customWidth="1"/>
    <col min="13588" max="13588" width="13.5703125" style="1" customWidth="1"/>
    <col min="13589" max="13825" width="8.85546875" style="1"/>
    <col min="13826" max="13826" width="9.28515625" style="1" customWidth="1"/>
    <col min="13827" max="13827" width="1.7109375" style="1" customWidth="1"/>
    <col min="13828" max="13831" width="12" style="1" customWidth="1"/>
    <col min="13832" max="13832" width="11.85546875" style="1" customWidth="1"/>
    <col min="13833" max="13833" width="10.7109375" style="1" customWidth="1"/>
    <col min="13834" max="13834" width="10.5703125" style="1" customWidth="1"/>
    <col min="13835" max="13835" width="1.140625" style="1" customWidth="1"/>
    <col min="13836" max="13836" width="11.28515625" style="1" customWidth="1"/>
    <col min="13837" max="13837" width="12.7109375" style="1" customWidth="1"/>
    <col min="13838" max="13838" width="11.5703125" style="1" customWidth="1"/>
    <col min="13839" max="13839" width="12.42578125" style="1" customWidth="1"/>
    <col min="13840" max="13840" width="1.5703125" style="1" customWidth="1"/>
    <col min="13841" max="13841" width="11.42578125" style="1" customWidth="1"/>
    <col min="13842" max="13842" width="12.140625" style="1" customWidth="1"/>
    <col min="13843" max="13843" width="1.7109375" style="1" customWidth="1"/>
    <col min="13844" max="13844" width="13.5703125" style="1" customWidth="1"/>
    <col min="13845" max="14081" width="8.85546875" style="1"/>
    <col min="14082" max="14082" width="9.28515625" style="1" customWidth="1"/>
    <col min="14083" max="14083" width="1.7109375" style="1" customWidth="1"/>
    <col min="14084" max="14087" width="12" style="1" customWidth="1"/>
    <col min="14088" max="14088" width="11.85546875" style="1" customWidth="1"/>
    <col min="14089" max="14089" width="10.7109375" style="1" customWidth="1"/>
    <col min="14090" max="14090" width="10.5703125" style="1" customWidth="1"/>
    <col min="14091" max="14091" width="1.140625" style="1" customWidth="1"/>
    <col min="14092" max="14092" width="11.28515625" style="1" customWidth="1"/>
    <col min="14093" max="14093" width="12.7109375" style="1" customWidth="1"/>
    <col min="14094" max="14094" width="11.5703125" style="1" customWidth="1"/>
    <col min="14095" max="14095" width="12.42578125" style="1" customWidth="1"/>
    <col min="14096" max="14096" width="1.5703125" style="1" customWidth="1"/>
    <col min="14097" max="14097" width="11.42578125" style="1" customWidth="1"/>
    <col min="14098" max="14098" width="12.140625" style="1" customWidth="1"/>
    <col min="14099" max="14099" width="1.7109375" style="1" customWidth="1"/>
    <col min="14100" max="14100" width="13.5703125" style="1" customWidth="1"/>
    <col min="14101" max="14337" width="8.85546875" style="1"/>
    <col min="14338" max="14338" width="9.28515625" style="1" customWidth="1"/>
    <col min="14339" max="14339" width="1.7109375" style="1" customWidth="1"/>
    <col min="14340" max="14343" width="12" style="1" customWidth="1"/>
    <col min="14344" max="14344" width="11.85546875" style="1" customWidth="1"/>
    <col min="14345" max="14345" width="10.7109375" style="1" customWidth="1"/>
    <col min="14346" max="14346" width="10.5703125" style="1" customWidth="1"/>
    <col min="14347" max="14347" width="1.140625" style="1" customWidth="1"/>
    <col min="14348" max="14348" width="11.28515625" style="1" customWidth="1"/>
    <col min="14349" max="14349" width="12.7109375" style="1" customWidth="1"/>
    <col min="14350" max="14350" width="11.5703125" style="1" customWidth="1"/>
    <col min="14351" max="14351" width="12.42578125" style="1" customWidth="1"/>
    <col min="14352" max="14352" width="1.5703125" style="1" customWidth="1"/>
    <col min="14353" max="14353" width="11.42578125" style="1" customWidth="1"/>
    <col min="14354" max="14354" width="12.140625" style="1" customWidth="1"/>
    <col min="14355" max="14355" width="1.7109375" style="1" customWidth="1"/>
    <col min="14356" max="14356" width="13.5703125" style="1" customWidth="1"/>
    <col min="14357" max="14593" width="8.85546875" style="1"/>
    <col min="14594" max="14594" width="9.28515625" style="1" customWidth="1"/>
    <col min="14595" max="14595" width="1.7109375" style="1" customWidth="1"/>
    <col min="14596" max="14599" width="12" style="1" customWidth="1"/>
    <col min="14600" max="14600" width="11.85546875" style="1" customWidth="1"/>
    <col min="14601" max="14601" width="10.7109375" style="1" customWidth="1"/>
    <col min="14602" max="14602" width="10.5703125" style="1" customWidth="1"/>
    <col min="14603" max="14603" width="1.140625" style="1" customWidth="1"/>
    <col min="14604" max="14604" width="11.28515625" style="1" customWidth="1"/>
    <col min="14605" max="14605" width="12.7109375" style="1" customWidth="1"/>
    <col min="14606" max="14606" width="11.5703125" style="1" customWidth="1"/>
    <col min="14607" max="14607" width="12.42578125" style="1" customWidth="1"/>
    <col min="14608" max="14608" width="1.5703125" style="1" customWidth="1"/>
    <col min="14609" max="14609" width="11.42578125" style="1" customWidth="1"/>
    <col min="14610" max="14610" width="12.140625" style="1" customWidth="1"/>
    <col min="14611" max="14611" width="1.7109375" style="1" customWidth="1"/>
    <col min="14612" max="14612" width="13.5703125" style="1" customWidth="1"/>
    <col min="14613" max="14849" width="8.85546875" style="1"/>
    <col min="14850" max="14850" width="9.28515625" style="1" customWidth="1"/>
    <col min="14851" max="14851" width="1.7109375" style="1" customWidth="1"/>
    <col min="14852" max="14855" width="12" style="1" customWidth="1"/>
    <col min="14856" max="14856" width="11.85546875" style="1" customWidth="1"/>
    <col min="14857" max="14857" width="10.7109375" style="1" customWidth="1"/>
    <col min="14858" max="14858" width="10.5703125" style="1" customWidth="1"/>
    <col min="14859" max="14859" width="1.140625" style="1" customWidth="1"/>
    <col min="14860" max="14860" width="11.28515625" style="1" customWidth="1"/>
    <col min="14861" max="14861" width="12.7109375" style="1" customWidth="1"/>
    <col min="14862" max="14862" width="11.5703125" style="1" customWidth="1"/>
    <col min="14863" max="14863" width="12.42578125" style="1" customWidth="1"/>
    <col min="14864" max="14864" width="1.5703125" style="1" customWidth="1"/>
    <col min="14865" max="14865" width="11.42578125" style="1" customWidth="1"/>
    <col min="14866" max="14866" width="12.140625" style="1" customWidth="1"/>
    <col min="14867" max="14867" width="1.7109375" style="1" customWidth="1"/>
    <col min="14868" max="14868" width="13.5703125" style="1" customWidth="1"/>
    <col min="14869" max="15105" width="8.85546875" style="1"/>
    <col min="15106" max="15106" width="9.28515625" style="1" customWidth="1"/>
    <col min="15107" max="15107" width="1.7109375" style="1" customWidth="1"/>
    <col min="15108" max="15111" width="12" style="1" customWidth="1"/>
    <col min="15112" max="15112" width="11.85546875" style="1" customWidth="1"/>
    <col min="15113" max="15113" width="10.7109375" style="1" customWidth="1"/>
    <col min="15114" max="15114" width="10.5703125" style="1" customWidth="1"/>
    <col min="15115" max="15115" width="1.140625" style="1" customWidth="1"/>
    <col min="15116" max="15116" width="11.28515625" style="1" customWidth="1"/>
    <col min="15117" max="15117" width="12.7109375" style="1" customWidth="1"/>
    <col min="15118" max="15118" width="11.5703125" style="1" customWidth="1"/>
    <col min="15119" max="15119" width="12.42578125" style="1" customWidth="1"/>
    <col min="15120" max="15120" width="1.5703125" style="1" customWidth="1"/>
    <col min="15121" max="15121" width="11.42578125" style="1" customWidth="1"/>
    <col min="15122" max="15122" width="12.140625" style="1" customWidth="1"/>
    <col min="15123" max="15123" width="1.7109375" style="1" customWidth="1"/>
    <col min="15124" max="15124" width="13.5703125" style="1" customWidth="1"/>
    <col min="15125" max="15361" width="8.85546875" style="1"/>
    <col min="15362" max="15362" width="9.28515625" style="1" customWidth="1"/>
    <col min="15363" max="15363" width="1.7109375" style="1" customWidth="1"/>
    <col min="15364" max="15367" width="12" style="1" customWidth="1"/>
    <col min="15368" max="15368" width="11.85546875" style="1" customWidth="1"/>
    <col min="15369" max="15369" width="10.7109375" style="1" customWidth="1"/>
    <col min="15370" max="15370" width="10.5703125" style="1" customWidth="1"/>
    <col min="15371" max="15371" width="1.140625" style="1" customWidth="1"/>
    <col min="15372" max="15372" width="11.28515625" style="1" customWidth="1"/>
    <col min="15373" max="15373" width="12.7109375" style="1" customWidth="1"/>
    <col min="15374" max="15374" width="11.5703125" style="1" customWidth="1"/>
    <col min="15375" max="15375" width="12.42578125" style="1" customWidth="1"/>
    <col min="15376" max="15376" width="1.5703125" style="1" customWidth="1"/>
    <col min="15377" max="15377" width="11.42578125" style="1" customWidth="1"/>
    <col min="15378" max="15378" width="12.140625" style="1" customWidth="1"/>
    <col min="15379" max="15379" width="1.7109375" style="1" customWidth="1"/>
    <col min="15380" max="15380" width="13.5703125" style="1" customWidth="1"/>
    <col min="15381" max="15617" width="8.85546875" style="1"/>
    <col min="15618" max="15618" width="9.28515625" style="1" customWidth="1"/>
    <col min="15619" max="15619" width="1.7109375" style="1" customWidth="1"/>
    <col min="15620" max="15623" width="12" style="1" customWidth="1"/>
    <col min="15624" max="15624" width="11.85546875" style="1" customWidth="1"/>
    <col min="15625" max="15625" width="10.7109375" style="1" customWidth="1"/>
    <col min="15626" max="15626" width="10.5703125" style="1" customWidth="1"/>
    <col min="15627" max="15627" width="1.140625" style="1" customWidth="1"/>
    <col min="15628" max="15628" width="11.28515625" style="1" customWidth="1"/>
    <col min="15629" max="15629" width="12.7109375" style="1" customWidth="1"/>
    <col min="15630" max="15630" width="11.5703125" style="1" customWidth="1"/>
    <col min="15631" max="15631" width="12.42578125" style="1" customWidth="1"/>
    <col min="15632" max="15632" width="1.5703125" style="1" customWidth="1"/>
    <col min="15633" max="15633" width="11.42578125" style="1" customWidth="1"/>
    <col min="15634" max="15634" width="12.140625" style="1" customWidth="1"/>
    <col min="15635" max="15635" width="1.7109375" style="1" customWidth="1"/>
    <col min="15636" max="15636" width="13.5703125" style="1" customWidth="1"/>
    <col min="15637" max="15873" width="8.85546875" style="1"/>
    <col min="15874" max="15874" width="9.28515625" style="1" customWidth="1"/>
    <col min="15875" max="15875" width="1.7109375" style="1" customWidth="1"/>
    <col min="15876" max="15879" width="12" style="1" customWidth="1"/>
    <col min="15880" max="15880" width="11.85546875" style="1" customWidth="1"/>
    <col min="15881" max="15881" width="10.7109375" style="1" customWidth="1"/>
    <col min="15882" max="15882" width="10.5703125" style="1" customWidth="1"/>
    <col min="15883" max="15883" width="1.140625" style="1" customWidth="1"/>
    <col min="15884" max="15884" width="11.28515625" style="1" customWidth="1"/>
    <col min="15885" max="15885" width="12.7109375" style="1" customWidth="1"/>
    <col min="15886" max="15886" width="11.5703125" style="1" customWidth="1"/>
    <col min="15887" max="15887" width="12.42578125" style="1" customWidth="1"/>
    <col min="15888" max="15888" width="1.5703125" style="1" customWidth="1"/>
    <col min="15889" max="15889" width="11.42578125" style="1" customWidth="1"/>
    <col min="15890" max="15890" width="12.140625" style="1" customWidth="1"/>
    <col min="15891" max="15891" width="1.7109375" style="1" customWidth="1"/>
    <col min="15892" max="15892" width="13.5703125" style="1" customWidth="1"/>
    <col min="15893" max="16129" width="8.85546875" style="1"/>
    <col min="16130" max="16130" width="9.28515625" style="1" customWidth="1"/>
    <col min="16131" max="16131" width="1.7109375" style="1" customWidth="1"/>
    <col min="16132" max="16135" width="12" style="1" customWidth="1"/>
    <col min="16136" max="16136" width="11.85546875" style="1" customWidth="1"/>
    <col min="16137" max="16137" width="10.7109375" style="1" customWidth="1"/>
    <col min="16138" max="16138" width="10.5703125" style="1" customWidth="1"/>
    <col min="16139" max="16139" width="1.140625" style="1" customWidth="1"/>
    <col min="16140" max="16140" width="11.28515625" style="1" customWidth="1"/>
    <col min="16141" max="16141" width="12.7109375" style="1" customWidth="1"/>
    <col min="16142" max="16142" width="11.5703125" style="1" customWidth="1"/>
    <col min="16143" max="16143" width="12.42578125" style="1" customWidth="1"/>
    <col min="16144" max="16144" width="1.5703125" style="1" customWidth="1"/>
    <col min="16145" max="16145" width="11.42578125" style="1" customWidth="1"/>
    <col min="16146" max="16146" width="12.140625" style="1" customWidth="1"/>
    <col min="16147" max="16147" width="1.7109375" style="1" customWidth="1"/>
    <col min="16148" max="16148" width="13.5703125" style="1" customWidth="1"/>
    <col min="16149" max="16384" width="8.85546875" style="1"/>
  </cols>
  <sheetData>
    <row r="1" spans="1:20" ht="18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ht="15.75" x14ac:dyDescent="0.25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1:20" s="2" customFormat="1" ht="15.75" x14ac:dyDescent="0.25">
      <c r="A3" s="128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</row>
    <row r="4" spans="1:20" s="2" customFormat="1" ht="14.25" customHeight="1" x14ac:dyDescent="0.25">
      <c r="A4" s="129" t="s">
        <v>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</row>
    <row r="5" spans="1:20" s="2" customFormat="1" x14ac:dyDescent="0.25">
      <c r="A5" s="131" t="s">
        <v>4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</row>
    <row r="6" spans="1:20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4"/>
    </row>
    <row r="7" spans="1:20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  <c r="S7" s="4"/>
      <c r="T7" s="4"/>
    </row>
    <row r="8" spans="1:20" s="9" customFormat="1" ht="14.25" customHeight="1" x14ac:dyDescent="0.25">
      <c r="A8" s="121" t="s">
        <v>5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3"/>
    </row>
    <row r="9" spans="1:20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8"/>
      <c r="J9" s="7"/>
      <c r="K9" s="7"/>
      <c r="L9" s="7"/>
      <c r="M9" s="7"/>
      <c r="N9" s="7"/>
      <c r="O9" s="7"/>
      <c r="P9" s="7"/>
      <c r="Q9" s="7"/>
      <c r="R9" s="7"/>
      <c r="S9" s="4"/>
      <c r="T9" s="4"/>
    </row>
    <row r="10" spans="1:20" s="15" customFormat="1" ht="12.75" x14ac:dyDescent="0.2">
      <c r="A10" s="10"/>
      <c r="B10" s="10"/>
      <c r="C10" s="118" t="s">
        <v>6</v>
      </c>
      <c r="D10" s="119"/>
      <c r="E10" s="119"/>
      <c r="F10" s="119"/>
      <c r="G10" s="119"/>
      <c r="H10" s="119"/>
      <c r="I10" s="119"/>
      <c r="J10" s="11"/>
      <c r="K10" s="12"/>
      <c r="L10" s="118" t="s">
        <v>7</v>
      </c>
      <c r="M10" s="119"/>
      <c r="N10" s="119"/>
      <c r="O10" s="120"/>
      <c r="P10" s="13"/>
      <c r="Q10" s="118" t="s">
        <v>8</v>
      </c>
      <c r="R10" s="120"/>
      <c r="S10" s="14"/>
      <c r="T10" s="14"/>
    </row>
    <row r="11" spans="1:20" s="21" customFormat="1" ht="12" x14ac:dyDescent="0.2">
      <c r="A11" s="16"/>
      <c r="B11" s="16"/>
      <c r="C11" s="17"/>
      <c r="D11" s="18" t="s">
        <v>9</v>
      </c>
      <c r="E11" s="17"/>
      <c r="F11" s="17"/>
      <c r="G11" s="17"/>
      <c r="H11" s="19" t="s">
        <v>10</v>
      </c>
      <c r="I11" s="17"/>
      <c r="J11" s="17"/>
      <c r="K11" s="17"/>
      <c r="L11" s="18" t="s">
        <v>11</v>
      </c>
      <c r="M11" s="18"/>
      <c r="N11" s="18" t="s">
        <v>9</v>
      </c>
      <c r="O11" s="18" t="s">
        <v>11</v>
      </c>
      <c r="P11" s="20"/>
      <c r="Q11" s="18" t="s">
        <v>11</v>
      </c>
      <c r="R11" s="18" t="s">
        <v>11</v>
      </c>
      <c r="S11" s="20"/>
      <c r="T11" s="18" t="s">
        <v>11</v>
      </c>
    </row>
    <row r="12" spans="1:20" s="25" customFormat="1" ht="12" x14ac:dyDescent="0.2">
      <c r="A12" s="22"/>
      <c r="B12" s="22"/>
      <c r="C12" s="18" t="s">
        <v>12</v>
      </c>
      <c r="D12" s="23" t="s">
        <v>13</v>
      </c>
      <c r="E12" s="18" t="s">
        <v>12</v>
      </c>
      <c r="F12" s="18" t="s">
        <v>14</v>
      </c>
      <c r="G12" s="18"/>
      <c r="H12" s="19" t="s">
        <v>15</v>
      </c>
      <c r="I12" s="18" t="s">
        <v>16</v>
      </c>
      <c r="J12" s="18"/>
      <c r="K12" s="18"/>
      <c r="L12" s="24" t="s">
        <v>10</v>
      </c>
      <c r="M12" s="18" t="s">
        <v>17</v>
      </c>
      <c r="N12" s="18" t="s">
        <v>17</v>
      </c>
      <c r="O12" s="18" t="s">
        <v>17</v>
      </c>
      <c r="P12" s="24"/>
      <c r="Q12" s="24" t="s">
        <v>10</v>
      </c>
      <c r="R12" s="18" t="s">
        <v>18</v>
      </c>
      <c r="S12" s="24"/>
      <c r="T12" s="18" t="s">
        <v>11</v>
      </c>
    </row>
    <row r="13" spans="1:20" s="25" customFormat="1" ht="12" x14ac:dyDescent="0.2">
      <c r="A13" s="26" t="s">
        <v>19</v>
      </c>
      <c r="B13" s="26"/>
      <c r="C13" s="27" t="s">
        <v>20</v>
      </c>
      <c r="D13" s="27" t="s">
        <v>12</v>
      </c>
      <c r="E13" s="27" t="s">
        <v>21</v>
      </c>
      <c r="F13" s="27" t="s">
        <v>22</v>
      </c>
      <c r="G13" s="27"/>
      <c r="H13" s="28" t="s">
        <v>23</v>
      </c>
      <c r="I13" s="27" t="s">
        <v>24</v>
      </c>
      <c r="J13" s="23"/>
      <c r="K13" s="23"/>
      <c r="L13" s="27" t="s">
        <v>25</v>
      </c>
      <c r="M13" s="27" t="s">
        <v>26</v>
      </c>
      <c r="N13" s="27" t="s">
        <v>12</v>
      </c>
      <c r="O13" s="27" t="s">
        <v>22</v>
      </c>
      <c r="P13" s="29"/>
      <c r="Q13" s="27" t="s">
        <v>8</v>
      </c>
      <c r="R13" s="27" t="s">
        <v>22</v>
      </c>
      <c r="S13" s="24"/>
      <c r="T13" s="27" t="s">
        <v>27</v>
      </c>
    </row>
    <row r="14" spans="1:20" x14ac:dyDescent="0.25">
      <c r="A14" s="5">
        <v>43191</v>
      </c>
      <c r="B14" s="5"/>
      <c r="C14" s="30">
        <v>107635481.02</v>
      </c>
      <c r="D14" s="30">
        <v>938511.48</v>
      </c>
      <c r="E14" s="30">
        <v>97668306.459999993</v>
      </c>
      <c r="F14" s="30">
        <v>9028663.0800000001</v>
      </c>
      <c r="G14" s="30"/>
      <c r="H14" s="31">
        <v>1150</v>
      </c>
      <c r="I14" s="30">
        <v>262</v>
      </c>
      <c r="J14" s="30"/>
      <c r="K14" s="32"/>
      <c r="L14" s="33">
        <v>67</v>
      </c>
      <c r="M14" s="34">
        <v>18456922.5</v>
      </c>
      <c r="N14" s="34">
        <v>197325</v>
      </c>
      <c r="O14" s="34">
        <v>3879524.52</v>
      </c>
      <c r="P14" s="32"/>
      <c r="Q14" s="35">
        <v>16</v>
      </c>
      <c r="R14" s="32">
        <v>471336</v>
      </c>
      <c r="S14" s="36"/>
      <c r="T14" s="30">
        <f t="shared" ref="T14:T25" si="0">F14+O14+R14</f>
        <v>13379523.6</v>
      </c>
    </row>
    <row r="15" spans="1:20" x14ac:dyDescent="0.25">
      <c r="A15" s="5">
        <v>43221</v>
      </c>
      <c r="B15" s="5"/>
      <c r="C15" s="30">
        <v>101147660.08</v>
      </c>
      <c r="D15" s="30">
        <v>769612.79</v>
      </c>
      <c r="E15" s="30">
        <v>91569054.269999996</v>
      </c>
      <c r="F15" s="30">
        <v>8808993.0199999996</v>
      </c>
      <c r="G15" s="30"/>
      <c r="H15" s="31">
        <v>1150</v>
      </c>
      <c r="I15" s="30">
        <v>247</v>
      </c>
      <c r="J15" s="30"/>
      <c r="K15" s="37"/>
      <c r="L15" s="37">
        <v>67</v>
      </c>
      <c r="M15" s="30">
        <v>15629781.050000001</v>
      </c>
      <c r="N15" s="30">
        <v>166060</v>
      </c>
      <c r="O15" s="30">
        <v>3916921.35</v>
      </c>
      <c r="P15" s="37"/>
      <c r="Q15" s="35">
        <v>16</v>
      </c>
      <c r="R15" s="32">
        <v>441696.01</v>
      </c>
      <c r="S15" s="37"/>
      <c r="T15" s="30">
        <f t="shared" si="0"/>
        <v>13167610.379999999</v>
      </c>
    </row>
    <row r="16" spans="1:20" x14ac:dyDescent="0.25">
      <c r="A16" s="5">
        <v>43252</v>
      </c>
      <c r="B16" s="5"/>
      <c r="C16" s="30">
        <v>99808207.739999995</v>
      </c>
      <c r="D16" s="30">
        <v>825383.58</v>
      </c>
      <c r="E16" s="30">
        <v>90384507.739999995</v>
      </c>
      <c r="F16" s="30">
        <v>8598316.4199999999</v>
      </c>
      <c r="G16" s="30"/>
      <c r="H16" s="31">
        <v>1150</v>
      </c>
      <c r="I16" s="30">
        <v>249</v>
      </c>
      <c r="J16" s="30"/>
      <c r="K16" s="37"/>
      <c r="L16" s="37">
        <v>67</v>
      </c>
      <c r="M16" s="30">
        <v>15916166.050000001</v>
      </c>
      <c r="N16" s="30">
        <v>140955</v>
      </c>
      <c r="O16" s="30">
        <v>3531949.6</v>
      </c>
      <c r="P16" s="37"/>
      <c r="Q16" s="35">
        <v>16</v>
      </c>
      <c r="R16" s="32">
        <v>403133</v>
      </c>
      <c r="S16" s="37"/>
      <c r="T16" s="30">
        <f t="shared" si="0"/>
        <v>12533399.02</v>
      </c>
    </row>
    <row r="17" spans="1:20" x14ac:dyDescent="0.25">
      <c r="A17" s="5">
        <v>43282</v>
      </c>
      <c r="B17" s="5"/>
      <c r="C17" s="30">
        <v>107583364.89</v>
      </c>
      <c r="D17" s="30">
        <v>792685.97</v>
      </c>
      <c r="E17" s="30">
        <v>97454760.560000002</v>
      </c>
      <c r="F17" s="30">
        <v>9335918.3599999994</v>
      </c>
      <c r="G17" s="38"/>
      <c r="H17" s="31">
        <v>1150</v>
      </c>
      <c r="I17" s="30">
        <v>262</v>
      </c>
      <c r="J17" s="30"/>
      <c r="K17" s="38"/>
      <c r="L17" s="37">
        <v>67</v>
      </c>
      <c r="M17" s="30">
        <v>17328152</v>
      </c>
      <c r="N17" s="30">
        <v>170645</v>
      </c>
      <c r="O17" s="30">
        <v>2828827.73</v>
      </c>
      <c r="P17" s="38"/>
      <c r="Q17" s="35">
        <v>16</v>
      </c>
      <c r="R17" s="32">
        <v>482631</v>
      </c>
      <c r="S17" s="38"/>
      <c r="T17" s="30">
        <f t="shared" si="0"/>
        <v>12647377.09</v>
      </c>
    </row>
    <row r="18" spans="1:20" x14ac:dyDescent="0.25">
      <c r="A18" s="5">
        <v>43313</v>
      </c>
      <c r="B18" s="5"/>
      <c r="C18" s="30">
        <v>114407036.15000001</v>
      </c>
      <c r="D18" s="30">
        <v>1048059.6</v>
      </c>
      <c r="E18" s="30">
        <v>103768757.09</v>
      </c>
      <c r="F18" s="30">
        <v>9590219.4600000009</v>
      </c>
      <c r="G18" s="38"/>
      <c r="H18" s="31">
        <v>1150</v>
      </c>
      <c r="I18" s="30">
        <v>269</v>
      </c>
      <c r="J18" s="30"/>
      <c r="K18" s="38"/>
      <c r="L18" s="37">
        <v>67</v>
      </c>
      <c r="M18" s="30">
        <v>18298487.5</v>
      </c>
      <c r="N18" s="30">
        <v>175445</v>
      </c>
      <c r="O18" s="30">
        <v>4337157</v>
      </c>
      <c r="P18" s="38"/>
      <c r="Q18" s="35">
        <v>16</v>
      </c>
      <c r="R18" s="32">
        <v>485011</v>
      </c>
      <c r="S18" s="38"/>
      <c r="T18" s="30">
        <f t="shared" si="0"/>
        <v>14412387.460000001</v>
      </c>
    </row>
    <row r="19" spans="1:20" x14ac:dyDescent="0.25">
      <c r="A19" s="5">
        <v>43344</v>
      </c>
      <c r="B19" s="5"/>
      <c r="C19" s="30">
        <v>101398730.81</v>
      </c>
      <c r="D19" s="30">
        <v>862790.95</v>
      </c>
      <c r="E19" s="30">
        <v>91724101.799999997</v>
      </c>
      <c r="F19" s="30">
        <v>8811838.0600000005</v>
      </c>
      <c r="G19" s="38"/>
      <c r="H19" s="31">
        <v>1150</v>
      </c>
      <c r="I19" s="30">
        <v>255</v>
      </c>
      <c r="J19" s="30"/>
      <c r="K19" s="38"/>
      <c r="L19" s="37">
        <v>67</v>
      </c>
      <c r="M19" s="30">
        <v>15997842.25</v>
      </c>
      <c r="N19" s="30">
        <v>181225</v>
      </c>
      <c r="O19" s="30">
        <v>3741060.63</v>
      </c>
      <c r="P19" s="38"/>
      <c r="Q19" s="35">
        <v>16</v>
      </c>
      <c r="R19" s="32">
        <v>412824</v>
      </c>
      <c r="S19" s="38"/>
      <c r="T19" s="30">
        <f t="shared" si="0"/>
        <v>12965722.690000001</v>
      </c>
    </row>
    <row r="20" spans="1:20" x14ac:dyDescent="0.25">
      <c r="A20" s="5">
        <v>43374</v>
      </c>
      <c r="B20" s="5"/>
      <c r="C20" s="30">
        <v>95834915.370000005</v>
      </c>
      <c r="D20" s="30">
        <v>849192.09</v>
      </c>
      <c r="E20" s="30">
        <v>86587194</v>
      </c>
      <c r="F20" s="30">
        <v>8398529.2799999993</v>
      </c>
      <c r="G20" s="38"/>
      <c r="H20" s="31">
        <v>1150</v>
      </c>
      <c r="I20" s="30">
        <v>236</v>
      </c>
      <c r="J20" s="30"/>
      <c r="K20" s="38"/>
      <c r="L20" s="37">
        <v>67</v>
      </c>
      <c r="M20" s="30">
        <v>17084443.199999999</v>
      </c>
      <c r="N20" s="30">
        <v>215190</v>
      </c>
      <c r="O20" s="30">
        <v>3373641.3</v>
      </c>
      <c r="P20" s="38"/>
      <c r="Q20" s="35">
        <v>16</v>
      </c>
      <c r="R20" s="32">
        <v>423713</v>
      </c>
      <c r="S20" s="38"/>
      <c r="T20" s="30">
        <f t="shared" si="0"/>
        <v>12195883.579999998</v>
      </c>
    </row>
    <row r="21" spans="1:20" x14ac:dyDescent="0.25">
      <c r="A21" s="5">
        <v>43405</v>
      </c>
      <c r="B21" s="5"/>
      <c r="C21" s="30">
        <v>94574834.219999999</v>
      </c>
      <c r="D21" s="30">
        <v>822896.24</v>
      </c>
      <c r="E21" s="30">
        <v>85367892.950000003</v>
      </c>
      <c r="F21" s="30">
        <v>8384045.0300000003</v>
      </c>
      <c r="G21" s="38"/>
      <c r="H21" s="31">
        <v>1150</v>
      </c>
      <c r="I21" s="30">
        <v>243</v>
      </c>
      <c r="J21" s="30"/>
      <c r="K21" s="38"/>
      <c r="L21" s="37">
        <v>67</v>
      </c>
      <c r="M21" s="30">
        <v>16551359.210000001</v>
      </c>
      <c r="N21" s="30">
        <v>210925</v>
      </c>
      <c r="O21" s="30">
        <v>3430357.55</v>
      </c>
      <c r="P21" s="38"/>
      <c r="Q21" s="35">
        <v>16</v>
      </c>
      <c r="R21" s="32">
        <v>422151</v>
      </c>
      <c r="S21" s="38"/>
      <c r="T21" s="30">
        <f t="shared" si="0"/>
        <v>12236553.58</v>
      </c>
    </row>
    <row r="22" spans="1:20" x14ac:dyDescent="0.25">
      <c r="A22" s="5">
        <v>43435</v>
      </c>
      <c r="B22" s="5"/>
      <c r="C22" s="30">
        <v>97728193.890000001</v>
      </c>
      <c r="D22" s="30">
        <v>670766.62</v>
      </c>
      <c r="E22" s="30">
        <v>88159161.620000005</v>
      </c>
      <c r="F22" s="30">
        <v>8898265.6500000004</v>
      </c>
      <c r="G22" s="38"/>
      <c r="H22" s="31">
        <v>1150</v>
      </c>
      <c r="I22" s="30">
        <v>250</v>
      </c>
      <c r="J22" s="30"/>
      <c r="K22" s="38"/>
      <c r="L22" s="37">
        <v>67</v>
      </c>
      <c r="M22" s="30">
        <v>16364608</v>
      </c>
      <c r="N22" s="30">
        <v>192455</v>
      </c>
      <c r="O22" s="30">
        <v>4059653.11</v>
      </c>
      <c r="P22" s="38"/>
      <c r="Q22" s="35">
        <v>16</v>
      </c>
      <c r="R22" s="32">
        <v>476101</v>
      </c>
      <c r="S22" s="38"/>
      <c r="T22" s="30">
        <f t="shared" si="0"/>
        <v>13434019.76</v>
      </c>
    </row>
    <row r="23" spans="1:20" x14ac:dyDescent="0.25">
      <c r="A23" s="5">
        <v>43466</v>
      </c>
      <c r="B23" s="5"/>
      <c r="C23" s="30">
        <v>90102955.290000007</v>
      </c>
      <c r="D23" s="30">
        <v>703772.83</v>
      </c>
      <c r="E23" s="30">
        <v>81676326.75</v>
      </c>
      <c r="F23" s="30">
        <v>7722855.71</v>
      </c>
      <c r="G23" s="38"/>
      <c r="H23" s="31">
        <v>1150</v>
      </c>
      <c r="I23" s="30">
        <v>217</v>
      </c>
      <c r="J23" s="30"/>
      <c r="K23" s="38"/>
      <c r="L23" s="37">
        <v>67</v>
      </c>
      <c r="M23" s="30">
        <v>14594606</v>
      </c>
      <c r="N23" s="30">
        <v>169835</v>
      </c>
      <c r="O23" s="30">
        <v>3195251.56</v>
      </c>
      <c r="P23" s="38"/>
      <c r="Q23" s="35">
        <v>16</v>
      </c>
      <c r="R23" s="32">
        <v>436756</v>
      </c>
      <c r="S23" s="38"/>
      <c r="T23" s="30">
        <f t="shared" si="0"/>
        <v>11354863.27</v>
      </c>
    </row>
    <row r="24" spans="1:20" x14ac:dyDescent="0.25">
      <c r="A24" s="5">
        <v>43497</v>
      </c>
      <c r="B24" s="5"/>
      <c r="C24" s="30">
        <v>100154341.56999999</v>
      </c>
      <c r="D24" s="30">
        <v>776958.38</v>
      </c>
      <c r="E24" s="30">
        <v>90690822.010000005</v>
      </c>
      <c r="F24" s="30">
        <v>8686561.1800000016</v>
      </c>
      <c r="G24" s="38"/>
      <c r="H24" s="31">
        <v>1150</v>
      </c>
      <c r="I24" s="30">
        <v>270</v>
      </c>
      <c r="J24" s="30"/>
      <c r="K24" s="38"/>
      <c r="L24" s="37">
        <v>67</v>
      </c>
      <c r="M24" s="30">
        <v>14935553</v>
      </c>
      <c r="N24" s="30">
        <v>164965</v>
      </c>
      <c r="O24" s="30">
        <v>3705352.28</v>
      </c>
      <c r="P24" s="38"/>
      <c r="Q24" s="35">
        <v>16</v>
      </c>
      <c r="R24" s="32">
        <v>414655</v>
      </c>
      <c r="S24" s="38"/>
      <c r="T24" s="30">
        <f t="shared" si="0"/>
        <v>12806568.460000001</v>
      </c>
    </row>
    <row r="25" spans="1:20" x14ac:dyDescent="0.25">
      <c r="A25" s="5">
        <v>43525</v>
      </c>
      <c r="B25" s="5"/>
      <c r="C25" s="30">
        <v>125838412.14</v>
      </c>
      <c r="D25" s="30">
        <v>953030.54</v>
      </c>
      <c r="E25" s="30">
        <v>113673627.40000001</v>
      </c>
      <c r="F25" s="30">
        <v>11211754.199999999</v>
      </c>
      <c r="G25" s="38"/>
      <c r="H25" s="31">
        <v>1150</v>
      </c>
      <c r="I25" s="30">
        <v>314</v>
      </c>
      <c r="J25" s="30"/>
      <c r="K25" s="38"/>
      <c r="L25" s="37">
        <v>67</v>
      </c>
      <c r="M25" s="30">
        <v>18501842</v>
      </c>
      <c r="N25" s="30">
        <v>227745</v>
      </c>
      <c r="O25" s="30">
        <v>4245020.99</v>
      </c>
      <c r="P25" s="38"/>
      <c r="Q25" s="35">
        <v>16</v>
      </c>
      <c r="R25" s="32">
        <v>517695</v>
      </c>
      <c r="S25" s="38"/>
      <c r="T25" s="30">
        <f t="shared" si="0"/>
        <v>15974470.189999999</v>
      </c>
    </row>
    <row r="26" spans="1:20" ht="15.75" thickBot="1" x14ac:dyDescent="0.3">
      <c r="A26" s="5" t="s">
        <v>28</v>
      </c>
      <c r="B26" s="5"/>
      <c r="C26" s="39">
        <f>SUM(C14:C25)</f>
        <v>1236214133.1700001</v>
      </c>
      <c r="D26" s="39">
        <f>SUM(D14:D25)</f>
        <v>10013661.07</v>
      </c>
      <c r="E26" s="39">
        <f>SUM(E14:E25)</f>
        <v>1118724512.6500001</v>
      </c>
      <c r="F26" s="39">
        <f>SUM(F14:F25)</f>
        <v>107475959.45000002</v>
      </c>
      <c r="G26" s="39"/>
      <c r="H26" s="101">
        <v>1150</v>
      </c>
      <c r="I26" s="41">
        <v>256</v>
      </c>
      <c r="J26" s="42"/>
      <c r="K26" s="30"/>
      <c r="L26" s="43">
        <v>67</v>
      </c>
      <c r="M26" s="39">
        <f>SUM(M14:M25)</f>
        <v>199659762.75999999</v>
      </c>
      <c r="N26" s="39">
        <f>SUM(N14:N25)</f>
        <v>2212770</v>
      </c>
      <c r="O26" s="39">
        <f>SUM(O14:O25)</f>
        <v>44244717.620000005</v>
      </c>
      <c r="P26" s="44"/>
      <c r="Q26" s="45">
        <v>16</v>
      </c>
      <c r="R26" s="39">
        <f>SUM(R14:R25)</f>
        <v>5387702.0099999998</v>
      </c>
      <c r="S26" s="44"/>
      <c r="T26" s="39">
        <f>SUM(T14:T25)</f>
        <v>157108379.08000001</v>
      </c>
    </row>
    <row r="27" spans="1:20" ht="10.5" customHeight="1" thickTop="1" x14ac:dyDescent="0.25">
      <c r="A27" s="5"/>
      <c r="B27" s="5"/>
      <c r="C27" s="46"/>
      <c r="D27" s="46"/>
      <c r="E27" s="46"/>
      <c r="F27" s="46"/>
      <c r="G27" s="46"/>
      <c r="H27" s="46"/>
      <c r="I27" s="35"/>
      <c r="J27" s="32"/>
      <c r="K27" s="32"/>
      <c r="L27" s="47"/>
      <c r="M27" s="46"/>
      <c r="N27" s="46"/>
      <c r="O27" s="46"/>
      <c r="P27" s="46"/>
      <c r="Q27" s="47"/>
      <c r="R27" s="46"/>
      <c r="S27" s="36"/>
      <c r="T27" s="36"/>
    </row>
    <row r="28" spans="1:20" s="52" customFormat="1" x14ac:dyDescent="0.25">
      <c r="A28" s="48"/>
      <c r="B28" s="48"/>
      <c r="C28" s="49"/>
      <c r="D28" s="50">
        <f>D26/$C$26</f>
        <v>8.1002641866924473E-3</v>
      </c>
      <c r="E28" s="50">
        <f>E26/$C$26</f>
        <v>0.90496013808002373</v>
      </c>
      <c r="F28" s="50">
        <f>F26/C26</f>
        <v>8.6939597733283872E-2</v>
      </c>
      <c r="G28" s="50"/>
      <c r="H28" s="49"/>
      <c r="I28" s="51"/>
      <c r="J28" s="51"/>
      <c r="K28" s="51"/>
      <c r="L28" s="49"/>
      <c r="M28" s="49"/>
      <c r="N28" s="49"/>
      <c r="O28" s="49">
        <f>O26/$M$26</f>
        <v>0.22160057193488777</v>
      </c>
      <c r="P28" s="49"/>
      <c r="Q28" s="49"/>
      <c r="R28" s="49"/>
      <c r="S28" s="51"/>
      <c r="T28" s="51"/>
    </row>
    <row r="29" spans="1:20" s="52" customFormat="1" x14ac:dyDescent="0.25">
      <c r="A29" s="48"/>
      <c r="B29" s="48"/>
      <c r="C29" s="49"/>
      <c r="D29" s="49"/>
      <c r="E29" s="49"/>
      <c r="F29" s="49"/>
      <c r="G29" s="49"/>
      <c r="H29" s="49"/>
      <c r="I29" s="51"/>
      <c r="J29" s="51"/>
      <c r="K29" s="51"/>
      <c r="L29" s="49"/>
      <c r="M29" s="49"/>
      <c r="N29" s="49"/>
      <c r="O29" s="49"/>
      <c r="P29" s="49"/>
      <c r="Q29" s="49"/>
      <c r="R29" s="49"/>
      <c r="S29" s="51"/>
      <c r="T29" s="51"/>
    </row>
    <row r="30" spans="1:20" s="52" customFormat="1" x14ac:dyDescent="0.25">
      <c r="A30" s="121" t="s">
        <v>29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3"/>
    </row>
    <row r="31" spans="1:20" s="52" customFormat="1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4"/>
      <c r="T31" s="54"/>
    </row>
    <row r="32" spans="1:20" s="52" customFormat="1" x14ac:dyDescent="0.25">
      <c r="A32" s="53"/>
      <c r="B32" s="53"/>
      <c r="C32" s="53"/>
      <c r="D32" s="53"/>
      <c r="E32" s="53"/>
      <c r="F32" s="53"/>
      <c r="G32" s="53"/>
      <c r="H32" s="124" t="s">
        <v>30</v>
      </c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6"/>
    </row>
    <row r="33" spans="1:21" s="60" customFormat="1" ht="12" x14ac:dyDescent="0.2">
      <c r="A33" s="55"/>
      <c r="B33" s="55"/>
      <c r="C33" s="55"/>
      <c r="D33" s="55"/>
      <c r="E33" s="55"/>
      <c r="F33" s="55" t="s">
        <v>31</v>
      </c>
      <c r="G33" s="55"/>
      <c r="H33" s="56" t="s">
        <v>32</v>
      </c>
      <c r="I33" s="56" t="s">
        <v>33</v>
      </c>
      <c r="J33" s="56" t="s">
        <v>34</v>
      </c>
      <c r="K33" s="57"/>
      <c r="L33" s="57"/>
      <c r="M33" s="58"/>
      <c r="N33" s="58"/>
      <c r="O33" s="58"/>
      <c r="P33" s="58"/>
      <c r="Q33" s="58"/>
      <c r="R33" s="59"/>
      <c r="S33" s="55"/>
      <c r="T33" s="55"/>
    </row>
    <row r="34" spans="1:21" s="60" customFormat="1" ht="12.75" customHeight="1" x14ac:dyDescent="0.2">
      <c r="A34" s="55"/>
      <c r="B34" s="55"/>
      <c r="C34" s="18" t="s">
        <v>35</v>
      </c>
      <c r="D34" s="55" t="s">
        <v>11</v>
      </c>
      <c r="E34" s="55" t="s">
        <v>36</v>
      </c>
      <c r="F34" s="55" t="s">
        <v>37</v>
      </c>
      <c r="G34" s="55"/>
      <c r="H34" s="56" t="s">
        <v>38</v>
      </c>
      <c r="I34" s="56" t="s">
        <v>39</v>
      </c>
      <c r="J34" s="56" t="s">
        <v>40</v>
      </c>
      <c r="K34" s="57"/>
      <c r="L34" s="116" t="s">
        <v>41</v>
      </c>
      <c r="M34" s="116"/>
      <c r="N34" s="116"/>
      <c r="O34" s="116"/>
      <c r="P34" s="116"/>
      <c r="Q34" s="116"/>
      <c r="R34" s="116"/>
      <c r="S34" s="116"/>
      <c r="T34" s="116"/>
    </row>
    <row r="35" spans="1:21" s="60" customFormat="1" ht="12" x14ac:dyDescent="0.2">
      <c r="A35" s="55"/>
      <c r="B35" s="55"/>
      <c r="C35" s="27" t="s">
        <v>42</v>
      </c>
      <c r="D35" s="61" t="s">
        <v>43</v>
      </c>
      <c r="E35" s="61" t="s">
        <v>44</v>
      </c>
      <c r="F35" s="61" t="s">
        <v>45</v>
      </c>
      <c r="G35" s="59"/>
      <c r="H35" s="62" t="s">
        <v>46</v>
      </c>
      <c r="I35" s="62" t="s">
        <v>40</v>
      </c>
      <c r="J35" s="62" t="s">
        <v>47</v>
      </c>
      <c r="K35" s="63"/>
      <c r="L35" s="63" t="s">
        <v>48</v>
      </c>
      <c r="M35" s="63" t="s">
        <v>49</v>
      </c>
      <c r="N35" s="63" t="s">
        <v>50</v>
      </c>
      <c r="O35" s="63" t="s">
        <v>51</v>
      </c>
      <c r="P35" s="64"/>
      <c r="Q35" s="63" t="s">
        <v>52</v>
      </c>
      <c r="R35" s="65" t="s">
        <v>53</v>
      </c>
      <c r="S35" s="65"/>
      <c r="T35" s="65" t="s">
        <v>54</v>
      </c>
    </row>
    <row r="36" spans="1:21" s="52" customFormat="1" x14ac:dyDescent="0.25">
      <c r="A36" s="5">
        <v>43191</v>
      </c>
      <c r="B36" s="48"/>
      <c r="C36" s="44">
        <f>(F14*0.55)+(O14+R14)*0.9</f>
        <v>8881539.1620000005</v>
      </c>
      <c r="D36" s="44">
        <f>(F14*0.45)+(O14+R14)*0.1</f>
        <v>4497984.4380000001</v>
      </c>
      <c r="E36" s="30">
        <v>18892.36</v>
      </c>
      <c r="F36" s="30">
        <v>0</v>
      </c>
      <c r="G36" s="51"/>
      <c r="H36" s="44">
        <f>F14*0.45*0.8+(O14+R14)*0.1*0.8+((E36+F36)*0.8)</f>
        <v>3613501.4383999999</v>
      </c>
      <c r="I36" s="44">
        <f>(F14*0.45*0.05+(O14+R14)*0.1*0.05+((E36+F36)*0.05))</f>
        <v>225843.83989999999</v>
      </c>
      <c r="J36" s="44">
        <f>F14*0.45*0.05+(O14+R14)*0.1*0.05+((E36+F36)*0.05)</f>
        <v>225843.83989999999</v>
      </c>
      <c r="K36" s="30"/>
      <c r="L36" s="44">
        <f>(F14*0.45*0.1+(O14+R14)*0.1*0.1)*304204/884955+((E36+F36)*0.1*304204/884955)</f>
        <v>155268.00678664926</v>
      </c>
      <c r="M36" s="44">
        <f>(F14*0.45*0.1+(O14+R14)*0.1*0.1)*55531/884955+((E36+F36)*0.1*55531/884955)</f>
        <v>28343.439550004012</v>
      </c>
      <c r="N36" s="44">
        <f>(F14*0.45*0.1+(O14+R14)*0.1*0.1)*50219/884955+((E36+F36)*0.1*50219/884955)</f>
        <v>25632.154846151727</v>
      </c>
      <c r="O36" s="44">
        <f>(F14*0.45*0.1+(O14+R14)*0.1*0.1)*159429/884955+((E36+F36)*0.1*159429/884955)</f>
        <v>81373.759233897988</v>
      </c>
      <c r="P36" s="66"/>
      <c r="Q36" s="44">
        <f>(F14*0.45*0.1+(O14+R14)*0.1*0.1)*219607/884955+((E36+F36)*0.1*219607/884955)</f>
        <v>112089.06249226075</v>
      </c>
      <c r="R36" s="44">
        <f>(F14*0.45*0.1+(O14+R14)*0.1*0.1)*32749/884955+((E36+F36)*0.1*32749/884955)</f>
        <v>16715.335611155599</v>
      </c>
      <c r="S36" s="30"/>
      <c r="T36" s="44">
        <f>(F14*0.45*0.1+(O14+R14)*0.1*0.1)*63216/884955+((E36+F36)*0.1*63216/884955)</f>
        <v>32265.921279880673</v>
      </c>
    </row>
    <row r="37" spans="1:21" s="52" customFormat="1" x14ac:dyDescent="0.25">
      <c r="A37" s="5">
        <v>43221</v>
      </c>
      <c r="B37" s="48"/>
      <c r="C37" s="44">
        <f t="shared" ref="C37:C47" si="1">(F15*0.55)+(O15+R15)*0.9</f>
        <v>8767701.7850000001</v>
      </c>
      <c r="D37" s="44">
        <f t="shared" ref="D37:D47" si="2">(F15*0.45)+(O15+R15)*0.1</f>
        <v>4399908.5949999997</v>
      </c>
      <c r="E37" s="30">
        <v>13353.2</v>
      </c>
      <c r="F37" s="30">
        <v>0</v>
      </c>
      <c r="G37" s="37"/>
      <c r="H37" s="44">
        <f t="shared" ref="H37:H47" si="3">F15*0.45*0.8+(O15+R15)*0.1*0.8+((E37+F37)*0.8)</f>
        <v>3530609.4360000002</v>
      </c>
      <c r="I37" s="44">
        <f t="shared" ref="I37:I47" si="4">(F15*0.45*0.05+(O15+R15)*0.1*0.05+((E37+F37)*0.05))</f>
        <v>220663.08975000001</v>
      </c>
      <c r="J37" s="44">
        <f t="shared" ref="J37:J47" si="5">F15*0.45*0.05+(O15+R15)*0.1*0.05+((E37+F37)*0.05)</f>
        <v>220663.08975000001</v>
      </c>
      <c r="K37" s="30"/>
      <c r="L37" s="44">
        <f t="shared" ref="L37:L47" si="6">(F15*0.45*0.1+(O15+R15)*0.1*0.1)*304204/884955+((E37+F37)*0.1*304204/884955)</f>
        <v>151706.23264303611</v>
      </c>
      <c r="M37" s="44">
        <f t="shared" ref="M37:M47" si="7">(F15*0.45*0.1+(O15+R15)*0.1*0.1)*55531/884955+((E37+F37)*0.1*55531/884955)</f>
        <v>27693.25454267675</v>
      </c>
      <c r="N37" s="44">
        <f t="shared" ref="N37:N47" si="8">(F15*0.45*0.1+(O15+R15)*0.1*0.1)*50219/884955+((E37+F37)*0.1*50219/884955)</f>
        <v>25044.165418931472</v>
      </c>
      <c r="O37" s="44">
        <f t="shared" ref="O37:O47" si="9">(F15*0.45*0.1+(O15+R15)*0.1*0.1)*159429/884955+((E37+F37)*0.1*159429/884955)</f>
        <v>79507.083943822567</v>
      </c>
      <c r="P37" s="44"/>
      <c r="Q37" s="44">
        <f t="shared" ref="Q37:Q47" si="10">(F15*0.45*0.1+(O15+R15)*0.1*0.1)*219607/884955+((E37+F37)*0.1*219607/884955)</f>
        <v>109517.79277076971</v>
      </c>
      <c r="R37" s="44">
        <f t="shared" ref="R37:R47" si="11">(F15*0.45*0.1+(O15+R15)*0.1*0.1)*32749/884955+((E37+F37)*0.1*32749/884955)</f>
        <v>16331.893771373121</v>
      </c>
      <c r="S37" s="30"/>
      <c r="T37" s="44">
        <f t="shared" ref="T37:T47" si="12">(F15*0.45*0.1+(O15+R15)*0.1*0.1)*63216/884955+((E37+F37)*0.1*63216/884955)</f>
        <v>31525.756409390309</v>
      </c>
    </row>
    <row r="38" spans="1:21" s="52" customFormat="1" x14ac:dyDescent="0.25">
      <c r="A38" s="5">
        <v>43252</v>
      </c>
      <c r="B38" s="48"/>
      <c r="C38" s="44">
        <f t="shared" si="1"/>
        <v>8270648.3710000012</v>
      </c>
      <c r="D38" s="44">
        <f t="shared" si="2"/>
        <v>4262750.6490000002</v>
      </c>
      <c r="E38" s="30">
        <v>8657.92</v>
      </c>
      <c r="F38" s="30">
        <v>0</v>
      </c>
      <c r="G38" s="37"/>
      <c r="H38" s="44">
        <f t="shared" si="3"/>
        <v>3417126.8552000001</v>
      </c>
      <c r="I38" s="44">
        <f t="shared" si="4"/>
        <v>213570.42845000001</v>
      </c>
      <c r="J38" s="44">
        <f t="shared" si="5"/>
        <v>213570.42845000001</v>
      </c>
      <c r="K38" s="30"/>
      <c r="L38" s="44">
        <f t="shared" si="6"/>
        <v>146830.01647813458</v>
      </c>
      <c r="M38" s="44">
        <f t="shared" si="7"/>
        <v>26803.124367356417</v>
      </c>
      <c r="N38" s="44">
        <f t="shared" si="8"/>
        <v>24239.183566013075</v>
      </c>
      <c r="O38" s="44">
        <f t="shared" si="9"/>
        <v>76951.528241221415</v>
      </c>
      <c r="P38" s="44"/>
      <c r="Q38" s="44">
        <f t="shared" si="10"/>
        <v>105997.61814017469</v>
      </c>
      <c r="R38" s="44">
        <f t="shared" si="11"/>
        <v>15806.946028462577</v>
      </c>
      <c r="S38" s="30"/>
      <c r="T38" s="44">
        <f t="shared" si="12"/>
        <v>30512.440078637217</v>
      </c>
    </row>
    <row r="39" spans="1:21" s="52" customFormat="1" x14ac:dyDescent="0.25">
      <c r="A39" s="5">
        <v>43282</v>
      </c>
      <c r="B39" s="48"/>
      <c r="C39" s="44">
        <f t="shared" si="1"/>
        <v>8115067.9550000001</v>
      </c>
      <c r="D39" s="44">
        <f t="shared" si="2"/>
        <v>4532309.1349999998</v>
      </c>
      <c r="E39" s="30">
        <v>8476.52</v>
      </c>
      <c r="F39" s="30">
        <v>0</v>
      </c>
      <c r="G39" s="37"/>
      <c r="H39" s="44">
        <f t="shared" si="3"/>
        <v>3632628.5240000002</v>
      </c>
      <c r="I39" s="44">
        <f t="shared" si="4"/>
        <v>227039.28275000001</v>
      </c>
      <c r="J39" s="44">
        <f t="shared" si="5"/>
        <v>227039.28275000001</v>
      </c>
      <c r="K39" s="30"/>
      <c r="L39" s="44">
        <f t="shared" si="6"/>
        <v>156089.8756878734</v>
      </c>
      <c r="M39" s="44">
        <f t="shared" si="7"/>
        <v>28493.46782692962</v>
      </c>
      <c r="N39" s="44">
        <f t="shared" si="8"/>
        <v>25767.83167601121</v>
      </c>
      <c r="O39" s="44">
        <f t="shared" si="9"/>
        <v>81804.489063398156</v>
      </c>
      <c r="P39" s="44"/>
      <c r="Q39" s="44">
        <f t="shared" si="10"/>
        <v>112682.37541316621</v>
      </c>
      <c r="R39" s="44">
        <f t="shared" si="11"/>
        <v>16803.81368720387</v>
      </c>
      <c r="S39" s="30"/>
      <c r="T39" s="44">
        <f t="shared" si="12"/>
        <v>32436.712145417565</v>
      </c>
    </row>
    <row r="40" spans="1:21" s="52" customFormat="1" x14ac:dyDescent="0.25">
      <c r="A40" s="5">
        <v>43313</v>
      </c>
      <c r="B40" s="48"/>
      <c r="C40" s="44">
        <f t="shared" si="1"/>
        <v>9614571.9030000009</v>
      </c>
      <c r="D40" s="44">
        <f t="shared" si="2"/>
        <v>4797815.557</v>
      </c>
      <c r="E40" s="30">
        <v>13988.32</v>
      </c>
      <c r="F40" s="30">
        <v>0</v>
      </c>
      <c r="G40" s="37"/>
      <c r="H40" s="44">
        <f t="shared" si="3"/>
        <v>3849443.1016000002</v>
      </c>
      <c r="I40" s="44">
        <f t="shared" si="4"/>
        <v>240590.19385000001</v>
      </c>
      <c r="J40" s="44">
        <f t="shared" si="5"/>
        <v>240590.19385000001</v>
      </c>
      <c r="K40" s="30"/>
      <c r="L40" s="44">
        <f t="shared" si="6"/>
        <v>165406.14908090336</v>
      </c>
      <c r="M40" s="44">
        <f t="shared" si="7"/>
        <v>30194.109428579646</v>
      </c>
      <c r="N40" s="44">
        <f t="shared" si="8"/>
        <v>27305.792825518023</v>
      </c>
      <c r="O40" s="44">
        <f t="shared" si="9"/>
        <v>86687.015758567723</v>
      </c>
      <c r="P40" s="44"/>
      <c r="Q40" s="44">
        <f t="shared" si="10"/>
        <v>119407.85848052603</v>
      </c>
      <c r="R40" s="44">
        <f t="shared" si="11"/>
        <v>17806.754599711057</v>
      </c>
      <c r="S40" s="30"/>
      <c r="T40" s="44">
        <f t="shared" si="12"/>
        <v>34372.707526194215</v>
      </c>
      <c r="U40" s="67"/>
    </row>
    <row r="41" spans="1:21" s="52" customFormat="1" x14ac:dyDescent="0.25">
      <c r="A41" s="5">
        <v>43344</v>
      </c>
      <c r="B41" s="48"/>
      <c r="C41" s="44">
        <f t="shared" si="1"/>
        <v>8585007.1000000015</v>
      </c>
      <c r="D41" s="44">
        <f t="shared" si="2"/>
        <v>4380715.59</v>
      </c>
      <c r="E41" s="30">
        <v>10955.83</v>
      </c>
      <c r="F41" s="30">
        <v>0</v>
      </c>
      <c r="G41" s="37"/>
      <c r="H41" s="44">
        <f t="shared" si="3"/>
        <v>3513337.1359999999</v>
      </c>
      <c r="I41" s="44">
        <f t="shared" si="4"/>
        <v>219583.571</v>
      </c>
      <c r="J41" s="44">
        <f t="shared" si="5"/>
        <v>219583.571</v>
      </c>
      <c r="K41" s="30"/>
      <c r="L41" s="44">
        <f t="shared" si="6"/>
        <v>150964.06174886631</v>
      </c>
      <c r="M41" s="44">
        <f t="shared" si="7"/>
        <v>27557.774759622804</v>
      </c>
      <c r="N41" s="44">
        <f t="shared" si="8"/>
        <v>24921.64539902933</v>
      </c>
      <c r="O41" s="44">
        <f t="shared" si="9"/>
        <v>79118.122708971656</v>
      </c>
      <c r="P41" s="44"/>
      <c r="Q41" s="44">
        <f t="shared" si="10"/>
        <v>108982.01439982146</v>
      </c>
      <c r="R41" s="44">
        <f t="shared" si="11"/>
        <v>16251.995562890768</v>
      </c>
      <c r="S41" s="30"/>
      <c r="T41" s="44">
        <f t="shared" si="12"/>
        <v>31371.527420797669</v>
      </c>
    </row>
    <row r="42" spans="1:21" s="52" customFormat="1" x14ac:dyDescent="0.25">
      <c r="A42" s="5">
        <v>43374</v>
      </c>
      <c r="B42" s="48"/>
      <c r="C42" s="44">
        <f t="shared" si="1"/>
        <v>8036809.9740000004</v>
      </c>
      <c r="D42" s="44">
        <f t="shared" si="2"/>
        <v>4159073.6060000001</v>
      </c>
      <c r="E42" s="30">
        <v>9759.23</v>
      </c>
      <c r="F42" s="30">
        <v>0</v>
      </c>
      <c r="G42" s="37"/>
      <c r="H42" s="44">
        <f t="shared" si="3"/>
        <v>3335066.2688000002</v>
      </c>
      <c r="I42" s="44">
        <f t="shared" si="4"/>
        <v>208441.64180000001</v>
      </c>
      <c r="J42" s="44">
        <f t="shared" si="5"/>
        <v>208441.64180000001</v>
      </c>
      <c r="K42" s="30"/>
      <c r="L42" s="44">
        <f t="shared" si="6"/>
        <v>143303.96732517969</v>
      </c>
      <c r="M42" s="44">
        <f t="shared" si="7"/>
        <v>26159.460787940177</v>
      </c>
      <c r="N42" s="44">
        <f t="shared" si="8"/>
        <v>23657.091738120471</v>
      </c>
      <c r="O42" s="44">
        <f t="shared" si="9"/>
        <v>75103.575911842301</v>
      </c>
      <c r="P42" s="44"/>
      <c r="Q42" s="44">
        <f t="shared" si="10"/>
        <v>103452.13853986385</v>
      </c>
      <c r="R42" s="44">
        <f t="shared" si="11"/>
        <v>15427.350152964162</v>
      </c>
      <c r="S42" s="30"/>
      <c r="T42" s="44">
        <f t="shared" si="12"/>
        <v>29779.699144089362</v>
      </c>
    </row>
    <row r="43" spans="1:21" s="52" customFormat="1" x14ac:dyDescent="0.25">
      <c r="A43" s="5">
        <v>43405</v>
      </c>
      <c r="B43" s="48"/>
      <c r="C43" s="44">
        <f t="shared" si="1"/>
        <v>8078482.4615000002</v>
      </c>
      <c r="D43" s="44">
        <f t="shared" si="2"/>
        <v>4158071.1185000003</v>
      </c>
      <c r="E43" s="30">
        <v>54008.37</v>
      </c>
      <c r="F43" s="30">
        <v>750</v>
      </c>
      <c r="G43" s="37"/>
      <c r="H43" s="44">
        <f t="shared" si="3"/>
        <v>3370263.5908000004</v>
      </c>
      <c r="I43" s="44">
        <f t="shared" si="4"/>
        <v>210641.47442500002</v>
      </c>
      <c r="J43" s="44">
        <f t="shared" si="5"/>
        <v>210641.47442500002</v>
      </c>
      <c r="K43" s="30"/>
      <c r="L43" s="44">
        <f t="shared" si="6"/>
        <v>144816.35582822337</v>
      </c>
      <c r="M43" s="44">
        <f t="shared" si="7"/>
        <v>26435.540149035096</v>
      </c>
      <c r="N43" s="44">
        <f t="shared" si="8"/>
        <v>23906.761822124459</v>
      </c>
      <c r="O43" s="44">
        <f t="shared" si="9"/>
        <v>75896.197266761214</v>
      </c>
      <c r="P43" s="44"/>
      <c r="Q43" s="44">
        <f t="shared" si="10"/>
        <v>104543.94240170626</v>
      </c>
      <c r="R43" s="44">
        <f t="shared" si="11"/>
        <v>15590.165931475218</v>
      </c>
      <c r="S43" s="30"/>
      <c r="T43" s="44">
        <f t="shared" si="12"/>
        <v>30093.985450674445</v>
      </c>
    </row>
    <row r="44" spans="1:21" s="52" customFormat="1" x14ac:dyDescent="0.25">
      <c r="A44" s="5">
        <v>43435</v>
      </c>
      <c r="B44" s="48"/>
      <c r="C44" s="44">
        <f t="shared" si="1"/>
        <v>8976224.8065000009</v>
      </c>
      <c r="D44" s="44">
        <f t="shared" si="2"/>
        <v>4457794.9535000008</v>
      </c>
      <c r="E44" s="30">
        <v>10466.85</v>
      </c>
      <c r="F44" s="30">
        <v>0</v>
      </c>
      <c r="G44" s="37"/>
      <c r="H44" s="44">
        <f t="shared" si="3"/>
        <v>3574609.4428000008</v>
      </c>
      <c r="I44" s="44">
        <f t="shared" si="4"/>
        <v>223413.09017500005</v>
      </c>
      <c r="J44" s="44">
        <f t="shared" si="5"/>
        <v>223413.09017500005</v>
      </c>
      <c r="K44" s="30"/>
      <c r="L44" s="44">
        <f t="shared" si="6"/>
        <v>153596.86240225937</v>
      </c>
      <c r="M44" s="44">
        <f t="shared" si="7"/>
        <v>28038.380054370962</v>
      </c>
      <c r="N44" s="44">
        <f t="shared" si="8"/>
        <v>25356.276817461516</v>
      </c>
      <c r="O44" s="44">
        <f t="shared" si="9"/>
        <v>80497.936174178525</v>
      </c>
      <c r="P44" s="44"/>
      <c r="Q44" s="44">
        <f t="shared" si="10"/>
        <v>110882.6516468323</v>
      </c>
      <c r="R44" s="44">
        <f t="shared" si="11"/>
        <v>16535.429010833494</v>
      </c>
      <c r="S44" s="30"/>
      <c r="T44" s="44">
        <f t="shared" si="12"/>
        <v>31918.64424406394</v>
      </c>
    </row>
    <row r="45" spans="1:21" s="52" customFormat="1" x14ac:dyDescent="0.25">
      <c r="A45" s="5">
        <v>43466</v>
      </c>
      <c r="B45" s="48"/>
      <c r="C45" s="44">
        <f t="shared" si="1"/>
        <v>7516377.4445000011</v>
      </c>
      <c r="D45" s="44">
        <f t="shared" si="2"/>
        <v>3838485.8255000003</v>
      </c>
      <c r="E45" s="30">
        <v>13154.67</v>
      </c>
      <c r="F45" s="30">
        <v>-10</v>
      </c>
      <c r="G45" s="37"/>
      <c r="H45" s="44">
        <f t="shared" si="3"/>
        <v>3081304.3964000004</v>
      </c>
      <c r="I45" s="44">
        <f t="shared" si="4"/>
        <v>192581.52477500003</v>
      </c>
      <c r="J45" s="44">
        <f t="shared" si="5"/>
        <v>192581.52477500003</v>
      </c>
      <c r="K45" s="30"/>
      <c r="L45" s="44">
        <f t="shared" si="6"/>
        <v>132400.11110769273</v>
      </c>
      <c r="M45" s="44">
        <f t="shared" si="7"/>
        <v>24169.013457815428</v>
      </c>
      <c r="N45" s="44">
        <f t="shared" si="8"/>
        <v>21857.047177937242</v>
      </c>
      <c r="O45" s="44">
        <f t="shared" si="9"/>
        <v>69389.019584845519</v>
      </c>
      <c r="P45" s="44"/>
      <c r="Q45" s="44">
        <f t="shared" si="10"/>
        <v>95580.568302938409</v>
      </c>
      <c r="R45" s="44">
        <f t="shared" si="11"/>
        <v>14253.498437449307</v>
      </c>
      <c r="S45" s="30"/>
      <c r="T45" s="44">
        <f t="shared" si="12"/>
        <v>27513.79148132143</v>
      </c>
    </row>
    <row r="46" spans="1:21" s="52" customFormat="1" x14ac:dyDescent="0.25">
      <c r="A46" s="5">
        <v>43497</v>
      </c>
      <c r="B46" s="48"/>
      <c r="C46" s="44">
        <f t="shared" si="1"/>
        <v>8485615.2010000013</v>
      </c>
      <c r="D46" s="44">
        <f t="shared" si="2"/>
        <v>4320953.2590000005</v>
      </c>
      <c r="E46" s="30">
        <v>9488.66</v>
      </c>
      <c r="F46" s="30">
        <v>0</v>
      </c>
      <c r="G46" s="37"/>
      <c r="H46" s="44">
        <f t="shared" si="3"/>
        <v>3464353.5352000007</v>
      </c>
      <c r="I46" s="44">
        <f t="shared" si="4"/>
        <v>216522.09595000005</v>
      </c>
      <c r="J46" s="44">
        <f t="shared" si="5"/>
        <v>216522.09595000005</v>
      </c>
      <c r="K46" s="30"/>
      <c r="L46" s="44">
        <f t="shared" si="6"/>
        <v>148859.29267900359</v>
      </c>
      <c r="M46" s="44">
        <f t="shared" si="7"/>
        <v>27173.559130576024</v>
      </c>
      <c r="N46" s="44">
        <f t="shared" si="8"/>
        <v>24574.183176575196</v>
      </c>
      <c r="O46" s="44">
        <f t="shared" si="9"/>
        <v>78015.043104367025</v>
      </c>
      <c r="P46" s="44"/>
      <c r="Q46" s="44">
        <f t="shared" si="10"/>
        <v>107462.56685434098</v>
      </c>
      <c r="R46" s="44">
        <f t="shared" si="11"/>
        <v>16025.407213398539</v>
      </c>
      <c r="S46" s="30"/>
      <c r="T46" s="44">
        <f t="shared" si="12"/>
        <v>30934.139741738738</v>
      </c>
    </row>
    <row r="47" spans="1:21" s="52" customFormat="1" x14ac:dyDescent="0.25">
      <c r="A47" s="5">
        <v>43525</v>
      </c>
      <c r="B47" s="48"/>
      <c r="C47" s="44">
        <f t="shared" si="1"/>
        <v>10452909.201000001</v>
      </c>
      <c r="D47" s="44">
        <f t="shared" si="2"/>
        <v>5521560.9890000001</v>
      </c>
      <c r="E47" s="30">
        <v>8650.27</v>
      </c>
      <c r="F47" s="30">
        <v>120000</v>
      </c>
      <c r="G47" s="37"/>
      <c r="H47" s="44">
        <f t="shared" si="3"/>
        <v>4520169.0071999999</v>
      </c>
      <c r="I47" s="44">
        <f t="shared" si="4"/>
        <v>282510.56294999999</v>
      </c>
      <c r="J47" s="44">
        <f t="shared" si="5"/>
        <v>282510.56294999999</v>
      </c>
      <c r="K47" s="30"/>
      <c r="L47" s="44">
        <f t="shared" si="6"/>
        <v>194226.47093161076</v>
      </c>
      <c r="M47" s="44">
        <f t="shared" si="7"/>
        <v>35455.1227377131</v>
      </c>
      <c r="N47" s="44">
        <f t="shared" si="8"/>
        <v>32063.546645391121</v>
      </c>
      <c r="O47" s="44">
        <f t="shared" si="9"/>
        <v>101791.33750429242</v>
      </c>
      <c r="P47" s="44"/>
      <c r="Q47" s="44">
        <f t="shared" si="10"/>
        <v>140213.45084837227</v>
      </c>
      <c r="R47" s="44">
        <f t="shared" si="11"/>
        <v>20909.398615860806</v>
      </c>
      <c r="S47" s="30"/>
      <c r="T47" s="44">
        <f t="shared" si="12"/>
        <v>40361.798616759501</v>
      </c>
    </row>
    <row r="48" spans="1:21" s="52" customFormat="1" ht="15.75" thickBot="1" x14ac:dyDescent="0.3">
      <c r="A48" s="5" t="s">
        <v>28</v>
      </c>
      <c r="B48" s="48"/>
      <c r="C48" s="69">
        <f>SUM(C36:C47)</f>
        <v>103780955.36450002</v>
      </c>
      <c r="D48" s="69">
        <f>SUM(D36:D47)</f>
        <v>53327423.715500005</v>
      </c>
      <c r="E48" s="69">
        <f>SUM(E36:E47)</f>
        <v>179852.2</v>
      </c>
      <c r="F48" s="39">
        <f>SUM(F36:F47)</f>
        <v>120740</v>
      </c>
      <c r="G48" s="46"/>
      <c r="H48" s="69">
        <f>SUM(H36:H47)</f>
        <v>42902412.7324</v>
      </c>
      <c r="I48" s="69">
        <f t="shared" ref="I48:T48" si="13">SUM(I36:I47)</f>
        <v>2681400.795775</v>
      </c>
      <c r="J48" s="69">
        <f t="shared" si="13"/>
        <v>2681400.795775</v>
      </c>
      <c r="K48" s="69"/>
      <c r="L48" s="69">
        <f t="shared" si="13"/>
        <v>1843467.4026994326</v>
      </c>
      <c r="M48" s="69">
        <f t="shared" si="13"/>
        <v>336516.24679262011</v>
      </c>
      <c r="N48" s="69">
        <f t="shared" si="13"/>
        <v>304325.68110926484</v>
      </c>
      <c r="O48" s="69">
        <f t="shared" si="13"/>
        <v>966135.10849616642</v>
      </c>
      <c r="P48" s="69"/>
      <c r="Q48" s="69">
        <f t="shared" si="13"/>
        <v>1330812.0402907729</v>
      </c>
      <c r="R48" s="69">
        <f t="shared" si="13"/>
        <v>198457.98862277853</v>
      </c>
      <c r="S48" s="69"/>
      <c r="T48" s="69">
        <f t="shared" si="13"/>
        <v>383087.12353896507</v>
      </c>
      <c r="U48" s="70"/>
    </row>
    <row r="49" spans="1:21" s="52" customFormat="1" ht="15.75" thickTop="1" x14ac:dyDescent="0.25">
      <c r="A49" s="48"/>
      <c r="B49" s="48"/>
      <c r="C49" s="46"/>
      <c r="D49" s="49"/>
      <c r="E49" s="49"/>
      <c r="F49" s="49"/>
      <c r="G49" s="49"/>
      <c r="H49" s="49"/>
      <c r="I49" s="49"/>
      <c r="J49" s="51"/>
      <c r="K49" s="51"/>
      <c r="L49" s="49"/>
      <c r="M49" s="49"/>
      <c r="N49" s="49"/>
      <c r="O49" s="49"/>
      <c r="P49" s="51"/>
      <c r="Q49" s="49"/>
      <c r="R49" s="51"/>
      <c r="S49" s="51"/>
      <c r="T49" s="51"/>
    </row>
    <row r="50" spans="1:21" s="52" customFormat="1" x14ac:dyDescent="0.25">
      <c r="A50" s="48"/>
      <c r="B50" s="48"/>
      <c r="C50" s="49">
        <f>C48/T26</f>
        <v>0.66056919415898541</v>
      </c>
      <c r="D50" s="49">
        <f>D48/T26</f>
        <v>0.33943080584101459</v>
      </c>
      <c r="E50" s="49"/>
      <c r="F50" s="49"/>
      <c r="G50" s="49"/>
      <c r="H50" s="49">
        <f>H48/($D48+$E$48+$F$48)</f>
        <v>0.79999999999999993</v>
      </c>
      <c r="I50" s="49">
        <f t="shared" ref="I50:T50" si="14">I48/($D48+$E$48+$F$48)</f>
        <v>4.9999999999999996E-2</v>
      </c>
      <c r="J50" s="49">
        <f t="shared" si="14"/>
        <v>4.9999999999999996E-2</v>
      </c>
      <c r="K50" s="49"/>
      <c r="L50" s="49">
        <f t="shared" si="14"/>
        <v>3.4375081218819034E-2</v>
      </c>
      <c r="M50" s="49">
        <f t="shared" si="14"/>
        <v>6.2750083337570848E-3</v>
      </c>
      <c r="N50" s="49">
        <f t="shared" si="14"/>
        <v>5.6747518235390499E-3</v>
      </c>
      <c r="O50" s="49">
        <f t="shared" si="14"/>
        <v>1.8015492313168464E-2</v>
      </c>
      <c r="P50" s="49"/>
      <c r="Q50" s="49">
        <f t="shared" si="14"/>
        <v>2.4815612093270278E-2</v>
      </c>
      <c r="R50" s="49">
        <f t="shared" si="14"/>
        <v>3.7006401455441239E-3</v>
      </c>
      <c r="S50" s="49"/>
      <c r="T50" s="49">
        <f t="shared" si="14"/>
        <v>7.1434140719019608E-3</v>
      </c>
    </row>
    <row r="51" spans="1:21" s="52" customFormat="1" x14ac:dyDescent="0.25">
      <c r="A51" s="48"/>
      <c r="B51" s="48"/>
      <c r="C51" s="49"/>
      <c r="D51" s="49"/>
      <c r="E51" s="51"/>
      <c r="F51" s="46"/>
      <c r="G51" s="51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51"/>
      <c r="T51" s="51"/>
      <c r="U51" s="70"/>
    </row>
    <row r="52" spans="1:21" s="52" customFormat="1" x14ac:dyDescent="0.25">
      <c r="A52" s="71" t="s">
        <v>55</v>
      </c>
      <c r="B52" s="48"/>
      <c r="C52" s="49"/>
      <c r="D52" s="49"/>
      <c r="E52" s="51"/>
      <c r="F52" s="51"/>
      <c r="G52" s="51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51"/>
      <c r="T52" s="51"/>
      <c r="U52" s="70"/>
    </row>
    <row r="53" spans="1:21" s="52" customFormat="1" x14ac:dyDescent="0.25">
      <c r="A53" s="72" t="s">
        <v>56</v>
      </c>
      <c r="B53" s="73"/>
      <c r="C53" s="74"/>
      <c r="D53" s="74"/>
      <c r="E53" s="54"/>
      <c r="F53" s="54"/>
      <c r="G53" s="5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54"/>
      <c r="T53" s="54"/>
      <c r="U53" s="70"/>
    </row>
    <row r="54" spans="1:21" s="52" customFormat="1" x14ac:dyDescent="0.25">
      <c r="A54" s="72" t="s">
        <v>57</v>
      </c>
      <c r="B54" s="73"/>
      <c r="C54" s="74"/>
      <c r="D54" s="74"/>
      <c r="E54" s="54"/>
      <c r="F54" s="54"/>
      <c r="G54" s="5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54"/>
      <c r="T54" s="54"/>
    </row>
    <row r="55" spans="1:21" s="52" customFormat="1" x14ac:dyDescent="0.25">
      <c r="A55" s="72"/>
      <c r="B55" s="73"/>
      <c r="C55" s="74"/>
      <c r="D55" s="74"/>
      <c r="E55" s="54"/>
      <c r="F55" s="54"/>
      <c r="G55" s="54"/>
      <c r="H55" s="75"/>
      <c r="I55" s="75"/>
      <c r="J55" s="75"/>
      <c r="K55" s="74"/>
      <c r="L55" s="76"/>
      <c r="M55" s="76"/>
      <c r="N55" s="76"/>
      <c r="O55" s="76"/>
      <c r="P55" s="74"/>
      <c r="Q55" s="76"/>
      <c r="R55" s="76"/>
      <c r="S55" s="77"/>
      <c r="T55" s="77"/>
    </row>
    <row r="56" spans="1:21" s="52" customFormat="1" ht="15" customHeight="1" x14ac:dyDescent="0.25">
      <c r="A56" s="72" t="s">
        <v>58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</row>
    <row r="57" spans="1:21" s="52" customFormat="1" x14ac:dyDescent="0.25">
      <c r="A57" s="54"/>
      <c r="B57" s="73"/>
      <c r="C57" s="74"/>
      <c r="D57" s="79"/>
      <c r="E57" s="54"/>
      <c r="F57" s="54"/>
      <c r="G57" s="5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54"/>
      <c r="T57" s="54"/>
    </row>
    <row r="58" spans="1:21" ht="15" customHeight="1" x14ac:dyDescent="0.25">
      <c r="A58" s="80" t="s">
        <v>59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32"/>
      <c r="P58" s="32"/>
      <c r="Q58" s="32"/>
      <c r="R58" s="32"/>
      <c r="S58" s="36"/>
      <c r="T58" s="36"/>
    </row>
    <row r="59" spans="1:21" x14ac:dyDescent="0.25">
      <c r="A59" s="80" t="s">
        <v>60</v>
      </c>
      <c r="B59" s="5"/>
      <c r="C59" s="32"/>
      <c r="D59" s="32"/>
      <c r="E59" s="32"/>
      <c r="F59" s="32"/>
      <c r="G59" s="32"/>
      <c r="H59" s="32"/>
      <c r="I59" s="35"/>
      <c r="J59" s="32"/>
      <c r="K59" s="32"/>
      <c r="L59" s="32"/>
      <c r="M59" s="32"/>
      <c r="N59" s="32"/>
      <c r="O59" s="32"/>
      <c r="P59" s="32"/>
      <c r="Q59" s="32"/>
      <c r="R59" s="32"/>
      <c r="S59" s="36"/>
      <c r="T59" s="36"/>
    </row>
    <row r="60" spans="1:21" x14ac:dyDescent="0.25">
      <c r="A60" s="5"/>
      <c r="B60" s="5"/>
      <c r="C60" s="32"/>
      <c r="D60" s="32"/>
      <c r="E60" s="32"/>
      <c r="F60" s="32"/>
      <c r="G60" s="32"/>
      <c r="H60" s="32"/>
      <c r="I60" s="35"/>
      <c r="J60" s="32"/>
      <c r="K60" s="32"/>
      <c r="L60" s="32"/>
      <c r="M60" s="32"/>
      <c r="N60" s="32"/>
      <c r="O60" s="32"/>
      <c r="P60" s="32"/>
      <c r="Q60" s="32"/>
      <c r="R60" s="32"/>
      <c r="S60" s="36"/>
      <c r="T60" s="36"/>
    </row>
    <row r="61" spans="1:21" x14ac:dyDescent="0.25">
      <c r="A61" s="80" t="s">
        <v>61</v>
      </c>
      <c r="B61" s="5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2"/>
      <c r="R61" s="32"/>
      <c r="S61" s="36"/>
      <c r="T61" s="36"/>
    </row>
    <row r="62" spans="1:21" x14ac:dyDescent="0.25">
      <c r="A62" s="81"/>
      <c r="B62" s="82"/>
      <c r="C62" s="83"/>
      <c r="D62" s="83"/>
      <c r="E62" s="83"/>
      <c r="F62" s="83"/>
      <c r="G62" s="83"/>
      <c r="H62" s="83"/>
      <c r="I62" s="84"/>
      <c r="J62" s="83"/>
      <c r="K62" s="83"/>
      <c r="L62" s="83"/>
      <c r="M62" s="83"/>
      <c r="N62" s="83"/>
      <c r="O62" s="83"/>
    </row>
    <row r="63" spans="1:21" x14ac:dyDescent="0.25">
      <c r="A63" s="81"/>
    </row>
  </sheetData>
  <mergeCells count="12">
    <mergeCell ref="L34:T34"/>
    <mergeCell ref="A1:T1"/>
    <mergeCell ref="A2:T2"/>
    <mergeCell ref="A3:T3"/>
    <mergeCell ref="A4:T4"/>
    <mergeCell ref="A5:T5"/>
    <mergeCell ref="A8:T8"/>
    <mergeCell ref="C10:I10"/>
    <mergeCell ref="L10:O10"/>
    <mergeCell ref="Q10:R10"/>
    <mergeCell ref="A30:T30"/>
    <mergeCell ref="H32:T32"/>
  </mergeCells>
  <hyperlinks>
    <hyperlink ref="A4" r:id="rId1" xr:uid="{00000000-0004-0000-0100-000000000000}"/>
  </hyperlinks>
  <printOptions horizontalCentered="1" verticalCentered="1"/>
  <pageMargins left="0" right="0" top="0.25" bottom="0.25" header="0.3" footer="0.3"/>
  <pageSetup scale="58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63"/>
  <sheetViews>
    <sheetView topLeftCell="A4" zoomScale="90" zoomScaleNormal="90" workbookViewId="0">
      <selection activeCell="D47" sqref="D47"/>
    </sheetView>
  </sheetViews>
  <sheetFormatPr defaultRowHeight="15" x14ac:dyDescent="0.25"/>
  <cols>
    <col min="1" max="1" width="9.28515625" style="5" customWidth="1"/>
    <col min="2" max="2" width="1.7109375" style="5" customWidth="1"/>
    <col min="3" max="3" width="15.5703125" style="32" bestFit="1" customWidth="1"/>
    <col min="4" max="4" width="13.5703125" style="32" customWidth="1"/>
    <col min="5" max="5" width="15.5703125" style="32" bestFit="1" customWidth="1"/>
    <col min="6" max="6" width="18.140625" style="32" customWidth="1"/>
    <col min="7" max="7" width="1.85546875" style="32" customWidth="1"/>
    <col min="8" max="8" width="15" style="32" customWidth="1"/>
    <col min="9" max="9" width="11.7109375" style="35" customWidth="1"/>
    <col min="10" max="10" width="11.7109375" style="32" customWidth="1"/>
    <col min="11" max="11" width="1.140625" style="32" customWidth="1"/>
    <col min="12" max="12" width="14" style="32" customWidth="1"/>
    <col min="13" max="13" width="13.85546875" style="32" customWidth="1"/>
    <col min="14" max="14" width="11.5703125" style="32" customWidth="1"/>
    <col min="15" max="15" width="12.42578125" style="32" customWidth="1"/>
    <col min="16" max="16" width="1.5703125" style="32" customWidth="1"/>
    <col min="17" max="17" width="15" style="32" customWidth="1"/>
    <col min="18" max="18" width="12.140625" style="32" customWidth="1"/>
    <col min="19" max="19" width="1.7109375" style="36" customWidth="1"/>
    <col min="20" max="20" width="14.42578125" style="36" customWidth="1"/>
    <col min="21" max="21" width="15" style="36" customWidth="1"/>
    <col min="22" max="257" width="8.85546875" style="36"/>
    <col min="258" max="258" width="9.28515625" style="36" customWidth="1"/>
    <col min="259" max="259" width="1.7109375" style="36" customWidth="1"/>
    <col min="260" max="263" width="12" style="36" customWidth="1"/>
    <col min="264" max="264" width="11.85546875" style="36" customWidth="1"/>
    <col min="265" max="265" width="10.7109375" style="36" customWidth="1"/>
    <col min="266" max="266" width="10.5703125" style="36" customWidth="1"/>
    <col min="267" max="267" width="1.140625" style="36" customWidth="1"/>
    <col min="268" max="268" width="11.28515625" style="36" customWidth="1"/>
    <col min="269" max="269" width="12.7109375" style="36" customWidth="1"/>
    <col min="270" max="270" width="11.5703125" style="36" customWidth="1"/>
    <col min="271" max="271" width="12.42578125" style="36" customWidth="1"/>
    <col min="272" max="272" width="1.5703125" style="36" customWidth="1"/>
    <col min="273" max="273" width="11.42578125" style="36" customWidth="1"/>
    <col min="274" max="274" width="12.140625" style="36" customWidth="1"/>
    <col min="275" max="275" width="1.7109375" style="36" customWidth="1"/>
    <col min="276" max="276" width="13.5703125" style="36" customWidth="1"/>
    <col min="277" max="513" width="8.85546875" style="36"/>
    <col min="514" max="514" width="9.28515625" style="36" customWidth="1"/>
    <col min="515" max="515" width="1.7109375" style="36" customWidth="1"/>
    <col min="516" max="519" width="12" style="36" customWidth="1"/>
    <col min="520" max="520" width="11.85546875" style="36" customWidth="1"/>
    <col min="521" max="521" width="10.7109375" style="36" customWidth="1"/>
    <col min="522" max="522" width="10.5703125" style="36" customWidth="1"/>
    <col min="523" max="523" width="1.140625" style="36" customWidth="1"/>
    <col min="524" max="524" width="11.28515625" style="36" customWidth="1"/>
    <col min="525" max="525" width="12.7109375" style="36" customWidth="1"/>
    <col min="526" max="526" width="11.5703125" style="36" customWidth="1"/>
    <col min="527" max="527" width="12.42578125" style="36" customWidth="1"/>
    <col min="528" max="528" width="1.5703125" style="36" customWidth="1"/>
    <col min="529" max="529" width="11.42578125" style="36" customWidth="1"/>
    <col min="530" max="530" width="12.140625" style="36" customWidth="1"/>
    <col min="531" max="531" width="1.7109375" style="36" customWidth="1"/>
    <col min="532" max="532" width="13.5703125" style="36" customWidth="1"/>
    <col min="533" max="769" width="8.85546875" style="36"/>
    <col min="770" max="770" width="9.28515625" style="36" customWidth="1"/>
    <col min="771" max="771" width="1.7109375" style="36" customWidth="1"/>
    <col min="772" max="775" width="12" style="36" customWidth="1"/>
    <col min="776" max="776" width="11.85546875" style="36" customWidth="1"/>
    <col min="777" max="777" width="10.7109375" style="36" customWidth="1"/>
    <col min="778" max="778" width="10.5703125" style="36" customWidth="1"/>
    <col min="779" max="779" width="1.140625" style="36" customWidth="1"/>
    <col min="780" max="780" width="11.28515625" style="36" customWidth="1"/>
    <col min="781" max="781" width="12.7109375" style="36" customWidth="1"/>
    <col min="782" max="782" width="11.5703125" style="36" customWidth="1"/>
    <col min="783" max="783" width="12.42578125" style="36" customWidth="1"/>
    <col min="784" max="784" width="1.5703125" style="36" customWidth="1"/>
    <col min="785" max="785" width="11.42578125" style="36" customWidth="1"/>
    <col min="786" max="786" width="12.140625" style="36" customWidth="1"/>
    <col min="787" max="787" width="1.7109375" style="36" customWidth="1"/>
    <col min="788" max="788" width="13.5703125" style="36" customWidth="1"/>
    <col min="789" max="1025" width="8.85546875" style="36"/>
    <col min="1026" max="1026" width="9.28515625" style="36" customWidth="1"/>
    <col min="1027" max="1027" width="1.7109375" style="36" customWidth="1"/>
    <col min="1028" max="1031" width="12" style="36" customWidth="1"/>
    <col min="1032" max="1032" width="11.85546875" style="36" customWidth="1"/>
    <col min="1033" max="1033" width="10.7109375" style="36" customWidth="1"/>
    <col min="1034" max="1034" width="10.5703125" style="36" customWidth="1"/>
    <col min="1035" max="1035" width="1.140625" style="36" customWidth="1"/>
    <col min="1036" max="1036" width="11.28515625" style="36" customWidth="1"/>
    <col min="1037" max="1037" width="12.7109375" style="36" customWidth="1"/>
    <col min="1038" max="1038" width="11.5703125" style="36" customWidth="1"/>
    <col min="1039" max="1039" width="12.42578125" style="36" customWidth="1"/>
    <col min="1040" max="1040" width="1.5703125" style="36" customWidth="1"/>
    <col min="1041" max="1041" width="11.42578125" style="36" customWidth="1"/>
    <col min="1042" max="1042" width="12.140625" style="36" customWidth="1"/>
    <col min="1043" max="1043" width="1.7109375" style="36" customWidth="1"/>
    <col min="1044" max="1044" width="13.5703125" style="36" customWidth="1"/>
    <col min="1045" max="1281" width="8.85546875" style="36"/>
    <col min="1282" max="1282" width="9.28515625" style="36" customWidth="1"/>
    <col min="1283" max="1283" width="1.7109375" style="36" customWidth="1"/>
    <col min="1284" max="1287" width="12" style="36" customWidth="1"/>
    <col min="1288" max="1288" width="11.85546875" style="36" customWidth="1"/>
    <col min="1289" max="1289" width="10.7109375" style="36" customWidth="1"/>
    <col min="1290" max="1290" width="10.5703125" style="36" customWidth="1"/>
    <col min="1291" max="1291" width="1.140625" style="36" customWidth="1"/>
    <col min="1292" max="1292" width="11.28515625" style="36" customWidth="1"/>
    <col min="1293" max="1293" width="12.7109375" style="36" customWidth="1"/>
    <col min="1294" max="1294" width="11.5703125" style="36" customWidth="1"/>
    <col min="1295" max="1295" width="12.42578125" style="36" customWidth="1"/>
    <col min="1296" max="1296" width="1.5703125" style="36" customWidth="1"/>
    <col min="1297" max="1297" width="11.42578125" style="36" customWidth="1"/>
    <col min="1298" max="1298" width="12.140625" style="36" customWidth="1"/>
    <col min="1299" max="1299" width="1.7109375" style="36" customWidth="1"/>
    <col min="1300" max="1300" width="13.5703125" style="36" customWidth="1"/>
    <col min="1301" max="1537" width="8.85546875" style="36"/>
    <col min="1538" max="1538" width="9.28515625" style="36" customWidth="1"/>
    <col min="1539" max="1539" width="1.7109375" style="36" customWidth="1"/>
    <col min="1540" max="1543" width="12" style="36" customWidth="1"/>
    <col min="1544" max="1544" width="11.85546875" style="36" customWidth="1"/>
    <col min="1545" max="1545" width="10.7109375" style="36" customWidth="1"/>
    <col min="1546" max="1546" width="10.5703125" style="36" customWidth="1"/>
    <col min="1547" max="1547" width="1.140625" style="36" customWidth="1"/>
    <col min="1548" max="1548" width="11.28515625" style="36" customWidth="1"/>
    <col min="1549" max="1549" width="12.7109375" style="36" customWidth="1"/>
    <col min="1550" max="1550" width="11.5703125" style="36" customWidth="1"/>
    <col min="1551" max="1551" width="12.42578125" style="36" customWidth="1"/>
    <col min="1552" max="1552" width="1.5703125" style="36" customWidth="1"/>
    <col min="1553" max="1553" width="11.42578125" style="36" customWidth="1"/>
    <col min="1554" max="1554" width="12.140625" style="36" customWidth="1"/>
    <col min="1555" max="1555" width="1.7109375" style="36" customWidth="1"/>
    <col min="1556" max="1556" width="13.5703125" style="36" customWidth="1"/>
    <col min="1557" max="1793" width="8.85546875" style="36"/>
    <col min="1794" max="1794" width="9.28515625" style="36" customWidth="1"/>
    <col min="1795" max="1795" width="1.7109375" style="36" customWidth="1"/>
    <col min="1796" max="1799" width="12" style="36" customWidth="1"/>
    <col min="1800" max="1800" width="11.85546875" style="36" customWidth="1"/>
    <col min="1801" max="1801" width="10.7109375" style="36" customWidth="1"/>
    <col min="1802" max="1802" width="10.5703125" style="36" customWidth="1"/>
    <col min="1803" max="1803" width="1.140625" style="36" customWidth="1"/>
    <col min="1804" max="1804" width="11.28515625" style="36" customWidth="1"/>
    <col min="1805" max="1805" width="12.7109375" style="36" customWidth="1"/>
    <col min="1806" max="1806" width="11.5703125" style="36" customWidth="1"/>
    <col min="1807" max="1807" width="12.42578125" style="36" customWidth="1"/>
    <col min="1808" max="1808" width="1.5703125" style="36" customWidth="1"/>
    <col min="1809" max="1809" width="11.42578125" style="36" customWidth="1"/>
    <col min="1810" max="1810" width="12.140625" style="36" customWidth="1"/>
    <col min="1811" max="1811" width="1.7109375" style="36" customWidth="1"/>
    <col min="1812" max="1812" width="13.5703125" style="36" customWidth="1"/>
    <col min="1813" max="2049" width="8.85546875" style="36"/>
    <col min="2050" max="2050" width="9.28515625" style="36" customWidth="1"/>
    <col min="2051" max="2051" width="1.7109375" style="36" customWidth="1"/>
    <col min="2052" max="2055" width="12" style="36" customWidth="1"/>
    <col min="2056" max="2056" width="11.85546875" style="36" customWidth="1"/>
    <col min="2057" max="2057" width="10.7109375" style="36" customWidth="1"/>
    <col min="2058" max="2058" width="10.5703125" style="36" customWidth="1"/>
    <col min="2059" max="2059" width="1.140625" style="36" customWidth="1"/>
    <col min="2060" max="2060" width="11.28515625" style="36" customWidth="1"/>
    <col min="2061" max="2061" width="12.7109375" style="36" customWidth="1"/>
    <col min="2062" max="2062" width="11.5703125" style="36" customWidth="1"/>
    <col min="2063" max="2063" width="12.42578125" style="36" customWidth="1"/>
    <col min="2064" max="2064" width="1.5703125" style="36" customWidth="1"/>
    <col min="2065" max="2065" width="11.42578125" style="36" customWidth="1"/>
    <col min="2066" max="2066" width="12.140625" style="36" customWidth="1"/>
    <col min="2067" max="2067" width="1.7109375" style="36" customWidth="1"/>
    <col min="2068" max="2068" width="13.5703125" style="36" customWidth="1"/>
    <col min="2069" max="2305" width="8.85546875" style="36"/>
    <col min="2306" max="2306" width="9.28515625" style="36" customWidth="1"/>
    <col min="2307" max="2307" width="1.7109375" style="36" customWidth="1"/>
    <col min="2308" max="2311" width="12" style="36" customWidth="1"/>
    <col min="2312" max="2312" width="11.85546875" style="36" customWidth="1"/>
    <col min="2313" max="2313" width="10.7109375" style="36" customWidth="1"/>
    <col min="2314" max="2314" width="10.5703125" style="36" customWidth="1"/>
    <col min="2315" max="2315" width="1.140625" style="36" customWidth="1"/>
    <col min="2316" max="2316" width="11.28515625" style="36" customWidth="1"/>
    <col min="2317" max="2317" width="12.7109375" style="36" customWidth="1"/>
    <col min="2318" max="2318" width="11.5703125" style="36" customWidth="1"/>
    <col min="2319" max="2319" width="12.42578125" style="36" customWidth="1"/>
    <col min="2320" max="2320" width="1.5703125" style="36" customWidth="1"/>
    <col min="2321" max="2321" width="11.42578125" style="36" customWidth="1"/>
    <col min="2322" max="2322" width="12.140625" style="36" customWidth="1"/>
    <col min="2323" max="2323" width="1.7109375" style="36" customWidth="1"/>
    <col min="2324" max="2324" width="13.5703125" style="36" customWidth="1"/>
    <col min="2325" max="2561" width="8.85546875" style="36"/>
    <col min="2562" max="2562" width="9.28515625" style="36" customWidth="1"/>
    <col min="2563" max="2563" width="1.7109375" style="36" customWidth="1"/>
    <col min="2564" max="2567" width="12" style="36" customWidth="1"/>
    <col min="2568" max="2568" width="11.85546875" style="36" customWidth="1"/>
    <col min="2569" max="2569" width="10.7109375" style="36" customWidth="1"/>
    <col min="2570" max="2570" width="10.5703125" style="36" customWidth="1"/>
    <col min="2571" max="2571" width="1.140625" style="36" customWidth="1"/>
    <col min="2572" max="2572" width="11.28515625" style="36" customWidth="1"/>
    <col min="2573" max="2573" width="12.7109375" style="36" customWidth="1"/>
    <col min="2574" max="2574" width="11.5703125" style="36" customWidth="1"/>
    <col min="2575" max="2575" width="12.42578125" style="36" customWidth="1"/>
    <col min="2576" max="2576" width="1.5703125" style="36" customWidth="1"/>
    <col min="2577" max="2577" width="11.42578125" style="36" customWidth="1"/>
    <col min="2578" max="2578" width="12.140625" style="36" customWidth="1"/>
    <col min="2579" max="2579" width="1.7109375" style="36" customWidth="1"/>
    <col min="2580" max="2580" width="13.5703125" style="36" customWidth="1"/>
    <col min="2581" max="2817" width="8.85546875" style="36"/>
    <col min="2818" max="2818" width="9.28515625" style="36" customWidth="1"/>
    <col min="2819" max="2819" width="1.7109375" style="36" customWidth="1"/>
    <col min="2820" max="2823" width="12" style="36" customWidth="1"/>
    <col min="2824" max="2824" width="11.85546875" style="36" customWidth="1"/>
    <col min="2825" max="2825" width="10.7109375" style="36" customWidth="1"/>
    <col min="2826" max="2826" width="10.5703125" style="36" customWidth="1"/>
    <col min="2827" max="2827" width="1.140625" style="36" customWidth="1"/>
    <col min="2828" max="2828" width="11.28515625" style="36" customWidth="1"/>
    <col min="2829" max="2829" width="12.7109375" style="36" customWidth="1"/>
    <col min="2830" max="2830" width="11.5703125" style="36" customWidth="1"/>
    <col min="2831" max="2831" width="12.42578125" style="36" customWidth="1"/>
    <col min="2832" max="2832" width="1.5703125" style="36" customWidth="1"/>
    <col min="2833" max="2833" width="11.42578125" style="36" customWidth="1"/>
    <col min="2834" max="2834" width="12.140625" style="36" customWidth="1"/>
    <col min="2835" max="2835" width="1.7109375" style="36" customWidth="1"/>
    <col min="2836" max="2836" width="13.5703125" style="36" customWidth="1"/>
    <col min="2837" max="3073" width="8.85546875" style="36"/>
    <col min="3074" max="3074" width="9.28515625" style="36" customWidth="1"/>
    <col min="3075" max="3075" width="1.7109375" style="36" customWidth="1"/>
    <col min="3076" max="3079" width="12" style="36" customWidth="1"/>
    <col min="3080" max="3080" width="11.85546875" style="36" customWidth="1"/>
    <col min="3081" max="3081" width="10.7109375" style="36" customWidth="1"/>
    <col min="3082" max="3082" width="10.5703125" style="36" customWidth="1"/>
    <col min="3083" max="3083" width="1.140625" style="36" customWidth="1"/>
    <col min="3084" max="3084" width="11.28515625" style="36" customWidth="1"/>
    <col min="3085" max="3085" width="12.7109375" style="36" customWidth="1"/>
    <col min="3086" max="3086" width="11.5703125" style="36" customWidth="1"/>
    <col min="3087" max="3087" width="12.42578125" style="36" customWidth="1"/>
    <col min="3088" max="3088" width="1.5703125" style="36" customWidth="1"/>
    <col min="3089" max="3089" width="11.42578125" style="36" customWidth="1"/>
    <col min="3090" max="3090" width="12.140625" style="36" customWidth="1"/>
    <col min="3091" max="3091" width="1.7109375" style="36" customWidth="1"/>
    <col min="3092" max="3092" width="13.5703125" style="36" customWidth="1"/>
    <col min="3093" max="3329" width="8.85546875" style="36"/>
    <col min="3330" max="3330" width="9.28515625" style="36" customWidth="1"/>
    <col min="3331" max="3331" width="1.7109375" style="36" customWidth="1"/>
    <col min="3332" max="3335" width="12" style="36" customWidth="1"/>
    <col min="3336" max="3336" width="11.85546875" style="36" customWidth="1"/>
    <col min="3337" max="3337" width="10.7109375" style="36" customWidth="1"/>
    <col min="3338" max="3338" width="10.5703125" style="36" customWidth="1"/>
    <col min="3339" max="3339" width="1.140625" style="36" customWidth="1"/>
    <col min="3340" max="3340" width="11.28515625" style="36" customWidth="1"/>
    <col min="3341" max="3341" width="12.7109375" style="36" customWidth="1"/>
    <col min="3342" max="3342" width="11.5703125" style="36" customWidth="1"/>
    <col min="3343" max="3343" width="12.42578125" style="36" customWidth="1"/>
    <col min="3344" max="3344" width="1.5703125" style="36" customWidth="1"/>
    <col min="3345" max="3345" width="11.42578125" style="36" customWidth="1"/>
    <col min="3346" max="3346" width="12.140625" style="36" customWidth="1"/>
    <col min="3347" max="3347" width="1.7109375" style="36" customWidth="1"/>
    <col min="3348" max="3348" width="13.5703125" style="36" customWidth="1"/>
    <col min="3349" max="3585" width="8.85546875" style="36"/>
    <col min="3586" max="3586" width="9.28515625" style="36" customWidth="1"/>
    <col min="3587" max="3587" width="1.7109375" style="36" customWidth="1"/>
    <col min="3588" max="3591" width="12" style="36" customWidth="1"/>
    <col min="3592" max="3592" width="11.85546875" style="36" customWidth="1"/>
    <col min="3593" max="3593" width="10.7109375" style="36" customWidth="1"/>
    <col min="3594" max="3594" width="10.5703125" style="36" customWidth="1"/>
    <col min="3595" max="3595" width="1.140625" style="36" customWidth="1"/>
    <col min="3596" max="3596" width="11.28515625" style="36" customWidth="1"/>
    <col min="3597" max="3597" width="12.7109375" style="36" customWidth="1"/>
    <col min="3598" max="3598" width="11.5703125" style="36" customWidth="1"/>
    <col min="3599" max="3599" width="12.42578125" style="36" customWidth="1"/>
    <col min="3600" max="3600" width="1.5703125" style="36" customWidth="1"/>
    <col min="3601" max="3601" width="11.42578125" style="36" customWidth="1"/>
    <col min="3602" max="3602" width="12.140625" style="36" customWidth="1"/>
    <col min="3603" max="3603" width="1.7109375" style="36" customWidth="1"/>
    <col min="3604" max="3604" width="13.5703125" style="36" customWidth="1"/>
    <col min="3605" max="3841" width="8.85546875" style="36"/>
    <col min="3842" max="3842" width="9.28515625" style="36" customWidth="1"/>
    <col min="3843" max="3843" width="1.7109375" style="36" customWidth="1"/>
    <col min="3844" max="3847" width="12" style="36" customWidth="1"/>
    <col min="3848" max="3848" width="11.85546875" style="36" customWidth="1"/>
    <col min="3849" max="3849" width="10.7109375" style="36" customWidth="1"/>
    <col min="3850" max="3850" width="10.5703125" style="36" customWidth="1"/>
    <col min="3851" max="3851" width="1.140625" style="36" customWidth="1"/>
    <col min="3852" max="3852" width="11.28515625" style="36" customWidth="1"/>
    <col min="3853" max="3853" width="12.7109375" style="36" customWidth="1"/>
    <col min="3854" max="3854" width="11.5703125" style="36" customWidth="1"/>
    <col min="3855" max="3855" width="12.42578125" style="36" customWidth="1"/>
    <col min="3856" max="3856" width="1.5703125" style="36" customWidth="1"/>
    <col min="3857" max="3857" width="11.42578125" style="36" customWidth="1"/>
    <col min="3858" max="3858" width="12.140625" style="36" customWidth="1"/>
    <col min="3859" max="3859" width="1.7109375" style="36" customWidth="1"/>
    <col min="3860" max="3860" width="13.5703125" style="36" customWidth="1"/>
    <col min="3861" max="4097" width="8.85546875" style="36"/>
    <col min="4098" max="4098" width="9.28515625" style="36" customWidth="1"/>
    <col min="4099" max="4099" width="1.7109375" style="36" customWidth="1"/>
    <col min="4100" max="4103" width="12" style="36" customWidth="1"/>
    <col min="4104" max="4104" width="11.85546875" style="36" customWidth="1"/>
    <col min="4105" max="4105" width="10.7109375" style="36" customWidth="1"/>
    <col min="4106" max="4106" width="10.5703125" style="36" customWidth="1"/>
    <col min="4107" max="4107" width="1.140625" style="36" customWidth="1"/>
    <col min="4108" max="4108" width="11.28515625" style="36" customWidth="1"/>
    <col min="4109" max="4109" width="12.7109375" style="36" customWidth="1"/>
    <col min="4110" max="4110" width="11.5703125" style="36" customWidth="1"/>
    <col min="4111" max="4111" width="12.42578125" style="36" customWidth="1"/>
    <col min="4112" max="4112" width="1.5703125" style="36" customWidth="1"/>
    <col min="4113" max="4113" width="11.42578125" style="36" customWidth="1"/>
    <col min="4114" max="4114" width="12.140625" style="36" customWidth="1"/>
    <col min="4115" max="4115" width="1.7109375" style="36" customWidth="1"/>
    <col min="4116" max="4116" width="13.5703125" style="36" customWidth="1"/>
    <col min="4117" max="4353" width="8.85546875" style="36"/>
    <col min="4354" max="4354" width="9.28515625" style="36" customWidth="1"/>
    <col min="4355" max="4355" width="1.7109375" style="36" customWidth="1"/>
    <col min="4356" max="4359" width="12" style="36" customWidth="1"/>
    <col min="4360" max="4360" width="11.85546875" style="36" customWidth="1"/>
    <col min="4361" max="4361" width="10.7109375" style="36" customWidth="1"/>
    <col min="4362" max="4362" width="10.5703125" style="36" customWidth="1"/>
    <col min="4363" max="4363" width="1.140625" style="36" customWidth="1"/>
    <col min="4364" max="4364" width="11.28515625" style="36" customWidth="1"/>
    <col min="4365" max="4365" width="12.7109375" style="36" customWidth="1"/>
    <col min="4366" max="4366" width="11.5703125" style="36" customWidth="1"/>
    <col min="4367" max="4367" width="12.42578125" style="36" customWidth="1"/>
    <col min="4368" max="4368" width="1.5703125" style="36" customWidth="1"/>
    <col min="4369" max="4369" width="11.42578125" style="36" customWidth="1"/>
    <col min="4370" max="4370" width="12.140625" style="36" customWidth="1"/>
    <col min="4371" max="4371" width="1.7109375" style="36" customWidth="1"/>
    <col min="4372" max="4372" width="13.5703125" style="36" customWidth="1"/>
    <col min="4373" max="4609" width="8.85546875" style="36"/>
    <col min="4610" max="4610" width="9.28515625" style="36" customWidth="1"/>
    <col min="4611" max="4611" width="1.7109375" style="36" customWidth="1"/>
    <col min="4612" max="4615" width="12" style="36" customWidth="1"/>
    <col min="4616" max="4616" width="11.85546875" style="36" customWidth="1"/>
    <col min="4617" max="4617" width="10.7109375" style="36" customWidth="1"/>
    <col min="4618" max="4618" width="10.5703125" style="36" customWidth="1"/>
    <col min="4619" max="4619" width="1.140625" style="36" customWidth="1"/>
    <col min="4620" max="4620" width="11.28515625" style="36" customWidth="1"/>
    <col min="4621" max="4621" width="12.7109375" style="36" customWidth="1"/>
    <col min="4622" max="4622" width="11.5703125" style="36" customWidth="1"/>
    <col min="4623" max="4623" width="12.42578125" style="36" customWidth="1"/>
    <col min="4624" max="4624" width="1.5703125" style="36" customWidth="1"/>
    <col min="4625" max="4625" width="11.42578125" style="36" customWidth="1"/>
    <col min="4626" max="4626" width="12.140625" style="36" customWidth="1"/>
    <col min="4627" max="4627" width="1.7109375" style="36" customWidth="1"/>
    <col min="4628" max="4628" width="13.5703125" style="36" customWidth="1"/>
    <col min="4629" max="4865" width="8.85546875" style="36"/>
    <col min="4866" max="4866" width="9.28515625" style="36" customWidth="1"/>
    <col min="4867" max="4867" width="1.7109375" style="36" customWidth="1"/>
    <col min="4868" max="4871" width="12" style="36" customWidth="1"/>
    <col min="4872" max="4872" width="11.85546875" style="36" customWidth="1"/>
    <col min="4873" max="4873" width="10.7109375" style="36" customWidth="1"/>
    <col min="4874" max="4874" width="10.5703125" style="36" customWidth="1"/>
    <col min="4875" max="4875" width="1.140625" style="36" customWidth="1"/>
    <col min="4876" max="4876" width="11.28515625" style="36" customWidth="1"/>
    <col min="4877" max="4877" width="12.7109375" style="36" customWidth="1"/>
    <col min="4878" max="4878" width="11.5703125" style="36" customWidth="1"/>
    <col min="4879" max="4879" width="12.42578125" style="36" customWidth="1"/>
    <col min="4880" max="4880" width="1.5703125" style="36" customWidth="1"/>
    <col min="4881" max="4881" width="11.42578125" style="36" customWidth="1"/>
    <col min="4882" max="4882" width="12.140625" style="36" customWidth="1"/>
    <col min="4883" max="4883" width="1.7109375" style="36" customWidth="1"/>
    <col min="4884" max="4884" width="13.5703125" style="36" customWidth="1"/>
    <col min="4885" max="5121" width="8.85546875" style="36"/>
    <col min="5122" max="5122" width="9.28515625" style="36" customWidth="1"/>
    <col min="5123" max="5123" width="1.7109375" style="36" customWidth="1"/>
    <col min="5124" max="5127" width="12" style="36" customWidth="1"/>
    <col min="5128" max="5128" width="11.85546875" style="36" customWidth="1"/>
    <col min="5129" max="5129" width="10.7109375" style="36" customWidth="1"/>
    <col min="5130" max="5130" width="10.5703125" style="36" customWidth="1"/>
    <col min="5131" max="5131" width="1.140625" style="36" customWidth="1"/>
    <col min="5132" max="5132" width="11.28515625" style="36" customWidth="1"/>
    <col min="5133" max="5133" width="12.7109375" style="36" customWidth="1"/>
    <col min="5134" max="5134" width="11.5703125" style="36" customWidth="1"/>
    <col min="5135" max="5135" width="12.42578125" style="36" customWidth="1"/>
    <col min="5136" max="5136" width="1.5703125" style="36" customWidth="1"/>
    <col min="5137" max="5137" width="11.42578125" style="36" customWidth="1"/>
    <col min="5138" max="5138" width="12.140625" style="36" customWidth="1"/>
    <col min="5139" max="5139" width="1.7109375" style="36" customWidth="1"/>
    <col min="5140" max="5140" width="13.5703125" style="36" customWidth="1"/>
    <col min="5141" max="5377" width="8.85546875" style="36"/>
    <col min="5378" max="5378" width="9.28515625" style="36" customWidth="1"/>
    <col min="5379" max="5379" width="1.7109375" style="36" customWidth="1"/>
    <col min="5380" max="5383" width="12" style="36" customWidth="1"/>
    <col min="5384" max="5384" width="11.85546875" style="36" customWidth="1"/>
    <col min="5385" max="5385" width="10.7109375" style="36" customWidth="1"/>
    <col min="5386" max="5386" width="10.5703125" style="36" customWidth="1"/>
    <col min="5387" max="5387" width="1.140625" style="36" customWidth="1"/>
    <col min="5388" max="5388" width="11.28515625" style="36" customWidth="1"/>
    <col min="5389" max="5389" width="12.7109375" style="36" customWidth="1"/>
    <col min="5390" max="5390" width="11.5703125" style="36" customWidth="1"/>
    <col min="5391" max="5391" width="12.42578125" style="36" customWidth="1"/>
    <col min="5392" max="5392" width="1.5703125" style="36" customWidth="1"/>
    <col min="5393" max="5393" width="11.42578125" style="36" customWidth="1"/>
    <col min="5394" max="5394" width="12.140625" style="36" customWidth="1"/>
    <col min="5395" max="5395" width="1.7109375" style="36" customWidth="1"/>
    <col min="5396" max="5396" width="13.5703125" style="36" customWidth="1"/>
    <col min="5397" max="5633" width="8.85546875" style="36"/>
    <col min="5634" max="5634" width="9.28515625" style="36" customWidth="1"/>
    <col min="5635" max="5635" width="1.7109375" style="36" customWidth="1"/>
    <col min="5636" max="5639" width="12" style="36" customWidth="1"/>
    <col min="5640" max="5640" width="11.85546875" style="36" customWidth="1"/>
    <col min="5641" max="5641" width="10.7109375" style="36" customWidth="1"/>
    <col min="5642" max="5642" width="10.5703125" style="36" customWidth="1"/>
    <col min="5643" max="5643" width="1.140625" style="36" customWidth="1"/>
    <col min="5644" max="5644" width="11.28515625" style="36" customWidth="1"/>
    <col min="5645" max="5645" width="12.7109375" style="36" customWidth="1"/>
    <col min="5646" max="5646" width="11.5703125" style="36" customWidth="1"/>
    <col min="5647" max="5647" width="12.42578125" style="36" customWidth="1"/>
    <col min="5648" max="5648" width="1.5703125" style="36" customWidth="1"/>
    <col min="5649" max="5649" width="11.42578125" style="36" customWidth="1"/>
    <col min="5650" max="5650" width="12.140625" style="36" customWidth="1"/>
    <col min="5651" max="5651" width="1.7109375" style="36" customWidth="1"/>
    <col min="5652" max="5652" width="13.5703125" style="36" customWidth="1"/>
    <col min="5653" max="5889" width="8.85546875" style="36"/>
    <col min="5890" max="5890" width="9.28515625" style="36" customWidth="1"/>
    <col min="5891" max="5891" width="1.7109375" style="36" customWidth="1"/>
    <col min="5892" max="5895" width="12" style="36" customWidth="1"/>
    <col min="5896" max="5896" width="11.85546875" style="36" customWidth="1"/>
    <col min="5897" max="5897" width="10.7109375" style="36" customWidth="1"/>
    <col min="5898" max="5898" width="10.5703125" style="36" customWidth="1"/>
    <col min="5899" max="5899" width="1.140625" style="36" customWidth="1"/>
    <col min="5900" max="5900" width="11.28515625" style="36" customWidth="1"/>
    <col min="5901" max="5901" width="12.7109375" style="36" customWidth="1"/>
    <col min="5902" max="5902" width="11.5703125" style="36" customWidth="1"/>
    <col min="5903" max="5903" width="12.42578125" style="36" customWidth="1"/>
    <col min="5904" max="5904" width="1.5703125" style="36" customWidth="1"/>
    <col min="5905" max="5905" width="11.42578125" style="36" customWidth="1"/>
    <col min="5906" max="5906" width="12.140625" style="36" customWidth="1"/>
    <col min="5907" max="5907" width="1.7109375" style="36" customWidth="1"/>
    <col min="5908" max="5908" width="13.5703125" style="36" customWidth="1"/>
    <col min="5909" max="6145" width="8.85546875" style="36"/>
    <col min="6146" max="6146" width="9.28515625" style="36" customWidth="1"/>
    <col min="6147" max="6147" width="1.7109375" style="36" customWidth="1"/>
    <col min="6148" max="6151" width="12" style="36" customWidth="1"/>
    <col min="6152" max="6152" width="11.85546875" style="36" customWidth="1"/>
    <col min="6153" max="6153" width="10.7109375" style="36" customWidth="1"/>
    <col min="6154" max="6154" width="10.5703125" style="36" customWidth="1"/>
    <col min="6155" max="6155" width="1.140625" style="36" customWidth="1"/>
    <col min="6156" max="6156" width="11.28515625" style="36" customWidth="1"/>
    <col min="6157" max="6157" width="12.7109375" style="36" customWidth="1"/>
    <col min="6158" max="6158" width="11.5703125" style="36" customWidth="1"/>
    <col min="6159" max="6159" width="12.42578125" style="36" customWidth="1"/>
    <col min="6160" max="6160" width="1.5703125" style="36" customWidth="1"/>
    <col min="6161" max="6161" width="11.42578125" style="36" customWidth="1"/>
    <col min="6162" max="6162" width="12.140625" style="36" customWidth="1"/>
    <col min="6163" max="6163" width="1.7109375" style="36" customWidth="1"/>
    <col min="6164" max="6164" width="13.5703125" style="36" customWidth="1"/>
    <col min="6165" max="6401" width="8.85546875" style="36"/>
    <col min="6402" max="6402" width="9.28515625" style="36" customWidth="1"/>
    <col min="6403" max="6403" width="1.7109375" style="36" customWidth="1"/>
    <col min="6404" max="6407" width="12" style="36" customWidth="1"/>
    <col min="6408" max="6408" width="11.85546875" style="36" customWidth="1"/>
    <col min="6409" max="6409" width="10.7109375" style="36" customWidth="1"/>
    <col min="6410" max="6410" width="10.5703125" style="36" customWidth="1"/>
    <col min="6411" max="6411" width="1.140625" style="36" customWidth="1"/>
    <col min="6412" max="6412" width="11.28515625" style="36" customWidth="1"/>
    <col min="6413" max="6413" width="12.7109375" style="36" customWidth="1"/>
    <col min="6414" max="6414" width="11.5703125" style="36" customWidth="1"/>
    <col min="6415" max="6415" width="12.42578125" style="36" customWidth="1"/>
    <col min="6416" max="6416" width="1.5703125" style="36" customWidth="1"/>
    <col min="6417" max="6417" width="11.42578125" style="36" customWidth="1"/>
    <col min="6418" max="6418" width="12.140625" style="36" customWidth="1"/>
    <col min="6419" max="6419" width="1.7109375" style="36" customWidth="1"/>
    <col min="6420" max="6420" width="13.5703125" style="36" customWidth="1"/>
    <col min="6421" max="6657" width="8.85546875" style="36"/>
    <col min="6658" max="6658" width="9.28515625" style="36" customWidth="1"/>
    <col min="6659" max="6659" width="1.7109375" style="36" customWidth="1"/>
    <col min="6660" max="6663" width="12" style="36" customWidth="1"/>
    <col min="6664" max="6664" width="11.85546875" style="36" customWidth="1"/>
    <col min="6665" max="6665" width="10.7109375" style="36" customWidth="1"/>
    <col min="6666" max="6666" width="10.5703125" style="36" customWidth="1"/>
    <col min="6667" max="6667" width="1.140625" style="36" customWidth="1"/>
    <col min="6668" max="6668" width="11.28515625" style="36" customWidth="1"/>
    <col min="6669" max="6669" width="12.7109375" style="36" customWidth="1"/>
    <col min="6670" max="6670" width="11.5703125" style="36" customWidth="1"/>
    <col min="6671" max="6671" width="12.42578125" style="36" customWidth="1"/>
    <col min="6672" max="6672" width="1.5703125" style="36" customWidth="1"/>
    <col min="6673" max="6673" width="11.42578125" style="36" customWidth="1"/>
    <col min="6674" max="6674" width="12.140625" style="36" customWidth="1"/>
    <col min="6675" max="6675" width="1.7109375" style="36" customWidth="1"/>
    <col min="6676" max="6676" width="13.5703125" style="36" customWidth="1"/>
    <col min="6677" max="6913" width="8.85546875" style="36"/>
    <col min="6914" max="6914" width="9.28515625" style="36" customWidth="1"/>
    <col min="6915" max="6915" width="1.7109375" style="36" customWidth="1"/>
    <col min="6916" max="6919" width="12" style="36" customWidth="1"/>
    <col min="6920" max="6920" width="11.85546875" style="36" customWidth="1"/>
    <col min="6921" max="6921" width="10.7109375" style="36" customWidth="1"/>
    <col min="6922" max="6922" width="10.5703125" style="36" customWidth="1"/>
    <col min="6923" max="6923" width="1.140625" style="36" customWidth="1"/>
    <col min="6924" max="6924" width="11.28515625" style="36" customWidth="1"/>
    <col min="6925" max="6925" width="12.7109375" style="36" customWidth="1"/>
    <col min="6926" max="6926" width="11.5703125" style="36" customWidth="1"/>
    <col min="6927" max="6927" width="12.42578125" style="36" customWidth="1"/>
    <col min="6928" max="6928" width="1.5703125" style="36" customWidth="1"/>
    <col min="6929" max="6929" width="11.42578125" style="36" customWidth="1"/>
    <col min="6930" max="6930" width="12.140625" style="36" customWidth="1"/>
    <col min="6931" max="6931" width="1.7109375" style="36" customWidth="1"/>
    <col min="6932" max="6932" width="13.5703125" style="36" customWidth="1"/>
    <col min="6933" max="7169" width="8.85546875" style="36"/>
    <col min="7170" max="7170" width="9.28515625" style="36" customWidth="1"/>
    <col min="7171" max="7171" width="1.7109375" style="36" customWidth="1"/>
    <col min="7172" max="7175" width="12" style="36" customWidth="1"/>
    <col min="7176" max="7176" width="11.85546875" style="36" customWidth="1"/>
    <col min="7177" max="7177" width="10.7109375" style="36" customWidth="1"/>
    <col min="7178" max="7178" width="10.5703125" style="36" customWidth="1"/>
    <col min="7179" max="7179" width="1.140625" style="36" customWidth="1"/>
    <col min="7180" max="7180" width="11.28515625" style="36" customWidth="1"/>
    <col min="7181" max="7181" width="12.7109375" style="36" customWidth="1"/>
    <col min="7182" max="7182" width="11.5703125" style="36" customWidth="1"/>
    <col min="7183" max="7183" width="12.42578125" style="36" customWidth="1"/>
    <col min="7184" max="7184" width="1.5703125" style="36" customWidth="1"/>
    <col min="7185" max="7185" width="11.42578125" style="36" customWidth="1"/>
    <col min="7186" max="7186" width="12.140625" style="36" customWidth="1"/>
    <col min="7187" max="7187" width="1.7109375" style="36" customWidth="1"/>
    <col min="7188" max="7188" width="13.5703125" style="36" customWidth="1"/>
    <col min="7189" max="7425" width="8.85546875" style="36"/>
    <col min="7426" max="7426" width="9.28515625" style="36" customWidth="1"/>
    <col min="7427" max="7427" width="1.7109375" style="36" customWidth="1"/>
    <col min="7428" max="7431" width="12" style="36" customWidth="1"/>
    <col min="7432" max="7432" width="11.85546875" style="36" customWidth="1"/>
    <col min="7433" max="7433" width="10.7109375" style="36" customWidth="1"/>
    <col min="7434" max="7434" width="10.5703125" style="36" customWidth="1"/>
    <col min="7435" max="7435" width="1.140625" style="36" customWidth="1"/>
    <col min="7436" max="7436" width="11.28515625" style="36" customWidth="1"/>
    <col min="7437" max="7437" width="12.7109375" style="36" customWidth="1"/>
    <col min="7438" max="7438" width="11.5703125" style="36" customWidth="1"/>
    <col min="7439" max="7439" width="12.42578125" style="36" customWidth="1"/>
    <col min="7440" max="7440" width="1.5703125" style="36" customWidth="1"/>
    <col min="7441" max="7441" width="11.42578125" style="36" customWidth="1"/>
    <col min="7442" max="7442" width="12.140625" style="36" customWidth="1"/>
    <col min="7443" max="7443" width="1.7109375" style="36" customWidth="1"/>
    <col min="7444" max="7444" width="13.5703125" style="36" customWidth="1"/>
    <col min="7445" max="7681" width="8.85546875" style="36"/>
    <col min="7682" max="7682" width="9.28515625" style="36" customWidth="1"/>
    <col min="7683" max="7683" width="1.7109375" style="36" customWidth="1"/>
    <col min="7684" max="7687" width="12" style="36" customWidth="1"/>
    <col min="7688" max="7688" width="11.85546875" style="36" customWidth="1"/>
    <col min="7689" max="7689" width="10.7109375" style="36" customWidth="1"/>
    <col min="7690" max="7690" width="10.5703125" style="36" customWidth="1"/>
    <col min="7691" max="7691" width="1.140625" style="36" customWidth="1"/>
    <col min="7692" max="7692" width="11.28515625" style="36" customWidth="1"/>
    <col min="7693" max="7693" width="12.7109375" style="36" customWidth="1"/>
    <col min="7694" max="7694" width="11.5703125" style="36" customWidth="1"/>
    <col min="7695" max="7695" width="12.42578125" style="36" customWidth="1"/>
    <col min="7696" max="7696" width="1.5703125" style="36" customWidth="1"/>
    <col min="7697" max="7697" width="11.42578125" style="36" customWidth="1"/>
    <col min="7698" max="7698" width="12.140625" style="36" customWidth="1"/>
    <col min="7699" max="7699" width="1.7109375" style="36" customWidth="1"/>
    <col min="7700" max="7700" width="13.5703125" style="36" customWidth="1"/>
    <col min="7701" max="7937" width="8.85546875" style="36"/>
    <col min="7938" max="7938" width="9.28515625" style="36" customWidth="1"/>
    <col min="7939" max="7939" width="1.7109375" style="36" customWidth="1"/>
    <col min="7940" max="7943" width="12" style="36" customWidth="1"/>
    <col min="7944" max="7944" width="11.85546875" style="36" customWidth="1"/>
    <col min="7945" max="7945" width="10.7109375" style="36" customWidth="1"/>
    <col min="7946" max="7946" width="10.5703125" style="36" customWidth="1"/>
    <col min="7947" max="7947" width="1.140625" style="36" customWidth="1"/>
    <col min="7948" max="7948" width="11.28515625" style="36" customWidth="1"/>
    <col min="7949" max="7949" width="12.7109375" style="36" customWidth="1"/>
    <col min="7950" max="7950" width="11.5703125" style="36" customWidth="1"/>
    <col min="7951" max="7951" width="12.42578125" style="36" customWidth="1"/>
    <col min="7952" max="7952" width="1.5703125" style="36" customWidth="1"/>
    <col min="7953" max="7953" width="11.42578125" style="36" customWidth="1"/>
    <col min="7954" max="7954" width="12.140625" style="36" customWidth="1"/>
    <col min="7955" max="7955" width="1.7109375" style="36" customWidth="1"/>
    <col min="7956" max="7956" width="13.5703125" style="36" customWidth="1"/>
    <col min="7957" max="8193" width="8.85546875" style="36"/>
    <col min="8194" max="8194" width="9.28515625" style="36" customWidth="1"/>
    <col min="8195" max="8195" width="1.7109375" style="36" customWidth="1"/>
    <col min="8196" max="8199" width="12" style="36" customWidth="1"/>
    <col min="8200" max="8200" width="11.85546875" style="36" customWidth="1"/>
    <col min="8201" max="8201" width="10.7109375" style="36" customWidth="1"/>
    <col min="8202" max="8202" width="10.5703125" style="36" customWidth="1"/>
    <col min="8203" max="8203" width="1.140625" style="36" customWidth="1"/>
    <col min="8204" max="8204" width="11.28515625" style="36" customWidth="1"/>
    <col min="8205" max="8205" width="12.7109375" style="36" customWidth="1"/>
    <col min="8206" max="8206" width="11.5703125" style="36" customWidth="1"/>
    <col min="8207" max="8207" width="12.42578125" style="36" customWidth="1"/>
    <col min="8208" max="8208" width="1.5703125" style="36" customWidth="1"/>
    <col min="8209" max="8209" width="11.42578125" style="36" customWidth="1"/>
    <col min="8210" max="8210" width="12.140625" style="36" customWidth="1"/>
    <col min="8211" max="8211" width="1.7109375" style="36" customWidth="1"/>
    <col min="8212" max="8212" width="13.5703125" style="36" customWidth="1"/>
    <col min="8213" max="8449" width="8.85546875" style="36"/>
    <col min="8450" max="8450" width="9.28515625" style="36" customWidth="1"/>
    <col min="8451" max="8451" width="1.7109375" style="36" customWidth="1"/>
    <col min="8452" max="8455" width="12" style="36" customWidth="1"/>
    <col min="8456" max="8456" width="11.85546875" style="36" customWidth="1"/>
    <col min="8457" max="8457" width="10.7109375" style="36" customWidth="1"/>
    <col min="8458" max="8458" width="10.5703125" style="36" customWidth="1"/>
    <col min="8459" max="8459" width="1.140625" style="36" customWidth="1"/>
    <col min="8460" max="8460" width="11.28515625" style="36" customWidth="1"/>
    <col min="8461" max="8461" width="12.7109375" style="36" customWidth="1"/>
    <col min="8462" max="8462" width="11.5703125" style="36" customWidth="1"/>
    <col min="8463" max="8463" width="12.42578125" style="36" customWidth="1"/>
    <col min="8464" max="8464" width="1.5703125" style="36" customWidth="1"/>
    <col min="8465" max="8465" width="11.42578125" style="36" customWidth="1"/>
    <col min="8466" max="8466" width="12.140625" style="36" customWidth="1"/>
    <col min="8467" max="8467" width="1.7109375" style="36" customWidth="1"/>
    <col min="8468" max="8468" width="13.5703125" style="36" customWidth="1"/>
    <col min="8469" max="8705" width="8.85546875" style="36"/>
    <col min="8706" max="8706" width="9.28515625" style="36" customWidth="1"/>
    <col min="8707" max="8707" width="1.7109375" style="36" customWidth="1"/>
    <col min="8708" max="8711" width="12" style="36" customWidth="1"/>
    <col min="8712" max="8712" width="11.85546875" style="36" customWidth="1"/>
    <col min="8713" max="8713" width="10.7109375" style="36" customWidth="1"/>
    <col min="8714" max="8714" width="10.5703125" style="36" customWidth="1"/>
    <col min="8715" max="8715" width="1.140625" style="36" customWidth="1"/>
    <col min="8716" max="8716" width="11.28515625" style="36" customWidth="1"/>
    <col min="8717" max="8717" width="12.7109375" style="36" customWidth="1"/>
    <col min="8718" max="8718" width="11.5703125" style="36" customWidth="1"/>
    <col min="8719" max="8719" width="12.42578125" style="36" customWidth="1"/>
    <col min="8720" max="8720" width="1.5703125" style="36" customWidth="1"/>
    <col min="8721" max="8721" width="11.42578125" style="36" customWidth="1"/>
    <col min="8722" max="8722" width="12.140625" style="36" customWidth="1"/>
    <col min="8723" max="8723" width="1.7109375" style="36" customWidth="1"/>
    <col min="8724" max="8724" width="13.5703125" style="36" customWidth="1"/>
    <col min="8725" max="8961" width="8.85546875" style="36"/>
    <col min="8962" max="8962" width="9.28515625" style="36" customWidth="1"/>
    <col min="8963" max="8963" width="1.7109375" style="36" customWidth="1"/>
    <col min="8964" max="8967" width="12" style="36" customWidth="1"/>
    <col min="8968" max="8968" width="11.85546875" style="36" customWidth="1"/>
    <col min="8969" max="8969" width="10.7109375" style="36" customWidth="1"/>
    <col min="8970" max="8970" width="10.5703125" style="36" customWidth="1"/>
    <col min="8971" max="8971" width="1.140625" style="36" customWidth="1"/>
    <col min="8972" max="8972" width="11.28515625" style="36" customWidth="1"/>
    <col min="8973" max="8973" width="12.7109375" style="36" customWidth="1"/>
    <col min="8974" max="8974" width="11.5703125" style="36" customWidth="1"/>
    <col min="8975" max="8975" width="12.42578125" style="36" customWidth="1"/>
    <col min="8976" max="8976" width="1.5703125" style="36" customWidth="1"/>
    <col min="8977" max="8977" width="11.42578125" style="36" customWidth="1"/>
    <col min="8978" max="8978" width="12.140625" style="36" customWidth="1"/>
    <col min="8979" max="8979" width="1.7109375" style="36" customWidth="1"/>
    <col min="8980" max="8980" width="13.5703125" style="36" customWidth="1"/>
    <col min="8981" max="9217" width="8.85546875" style="36"/>
    <col min="9218" max="9218" width="9.28515625" style="36" customWidth="1"/>
    <col min="9219" max="9219" width="1.7109375" style="36" customWidth="1"/>
    <col min="9220" max="9223" width="12" style="36" customWidth="1"/>
    <col min="9224" max="9224" width="11.85546875" style="36" customWidth="1"/>
    <col min="9225" max="9225" width="10.7109375" style="36" customWidth="1"/>
    <col min="9226" max="9226" width="10.5703125" style="36" customWidth="1"/>
    <col min="9227" max="9227" width="1.140625" style="36" customWidth="1"/>
    <col min="9228" max="9228" width="11.28515625" style="36" customWidth="1"/>
    <col min="9229" max="9229" width="12.7109375" style="36" customWidth="1"/>
    <col min="9230" max="9230" width="11.5703125" style="36" customWidth="1"/>
    <col min="9231" max="9231" width="12.42578125" style="36" customWidth="1"/>
    <col min="9232" max="9232" width="1.5703125" style="36" customWidth="1"/>
    <col min="9233" max="9233" width="11.42578125" style="36" customWidth="1"/>
    <col min="9234" max="9234" width="12.140625" style="36" customWidth="1"/>
    <col min="9235" max="9235" width="1.7109375" style="36" customWidth="1"/>
    <col min="9236" max="9236" width="13.5703125" style="36" customWidth="1"/>
    <col min="9237" max="9473" width="8.85546875" style="36"/>
    <col min="9474" max="9474" width="9.28515625" style="36" customWidth="1"/>
    <col min="9475" max="9475" width="1.7109375" style="36" customWidth="1"/>
    <col min="9476" max="9479" width="12" style="36" customWidth="1"/>
    <col min="9480" max="9480" width="11.85546875" style="36" customWidth="1"/>
    <col min="9481" max="9481" width="10.7109375" style="36" customWidth="1"/>
    <col min="9482" max="9482" width="10.5703125" style="36" customWidth="1"/>
    <col min="9483" max="9483" width="1.140625" style="36" customWidth="1"/>
    <col min="9484" max="9484" width="11.28515625" style="36" customWidth="1"/>
    <col min="9485" max="9485" width="12.7109375" style="36" customWidth="1"/>
    <col min="9486" max="9486" width="11.5703125" style="36" customWidth="1"/>
    <col min="9487" max="9487" width="12.42578125" style="36" customWidth="1"/>
    <col min="9488" max="9488" width="1.5703125" style="36" customWidth="1"/>
    <col min="9489" max="9489" width="11.42578125" style="36" customWidth="1"/>
    <col min="9490" max="9490" width="12.140625" style="36" customWidth="1"/>
    <col min="9491" max="9491" width="1.7109375" style="36" customWidth="1"/>
    <col min="9492" max="9492" width="13.5703125" style="36" customWidth="1"/>
    <col min="9493" max="9729" width="8.85546875" style="36"/>
    <col min="9730" max="9730" width="9.28515625" style="36" customWidth="1"/>
    <col min="9731" max="9731" width="1.7109375" style="36" customWidth="1"/>
    <col min="9732" max="9735" width="12" style="36" customWidth="1"/>
    <col min="9736" max="9736" width="11.85546875" style="36" customWidth="1"/>
    <col min="9737" max="9737" width="10.7109375" style="36" customWidth="1"/>
    <col min="9738" max="9738" width="10.5703125" style="36" customWidth="1"/>
    <col min="9739" max="9739" width="1.140625" style="36" customWidth="1"/>
    <col min="9740" max="9740" width="11.28515625" style="36" customWidth="1"/>
    <col min="9741" max="9741" width="12.7109375" style="36" customWidth="1"/>
    <col min="9742" max="9742" width="11.5703125" style="36" customWidth="1"/>
    <col min="9743" max="9743" width="12.42578125" style="36" customWidth="1"/>
    <col min="9744" max="9744" width="1.5703125" style="36" customWidth="1"/>
    <col min="9745" max="9745" width="11.42578125" style="36" customWidth="1"/>
    <col min="9746" max="9746" width="12.140625" style="36" customWidth="1"/>
    <col min="9747" max="9747" width="1.7109375" style="36" customWidth="1"/>
    <col min="9748" max="9748" width="13.5703125" style="36" customWidth="1"/>
    <col min="9749" max="9985" width="8.85546875" style="36"/>
    <col min="9986" max="9986" width="9.28515625" style="36" customWidth="1"/>
    <col min="9987" max="9987" width="1.7109375" style="36" customWidth="1"/>
    <col min="9988" max="9991" width="12" style="36" customWidth="1"/>
    <col min="9992" max="9992" width="11.85546875" style="36" customWidth="1"/>
    <col min="9993" max="9993" width="10.7109375" style="36" customWidth="1"/>
    <col min="9994" max="9994" width="10.5703125" style="36" customWidth="1"/>
    <col min="9995" max="9995" width="1.140625" style="36" customWidth="1"/>
    <col min="9996" max="9996" width="11.28515625" style="36" customWidth="1"/>
    <col min="9997" max="9997" width="12.7109375" style="36" customWidth="1"/>
    <col min="9998" max="9998" width="11.5703125" style="36" customWidth="1"/>
    <col min="9999" max="9999" width="12.42578125" style="36" customWidth="1"/>
    <col min="10000" max="10000" width="1.5703125" style="36" customWidth="1"/>
    <col min="10001" max="10001" width="11.42578125" style="36" customWidth="1"/>
    <col min="10002" max="10002" width="12.140625" style="36" customWidth="1"/>
    <col min="10003" max="10003" width="1.7109375" style="36" customWidth="1"/>
    <col min="10004" max="10004" width="13.5703125" style="36" customWidth="1"/>
    <col min="10005" max="10241" width="8.85546875" style="36"/>
    <col min="10242" max="10242" width="9.28515625" style="36" customWidth="1"/>
    <col min="10243" max="10243" width="1.7109375" style="36" customWidth="1"/>
    <col min="10244" max="10247" width="12" style="36" customWidth="1"/>
    <col min="10248" max="10248" width="11.85546875" style="36" customWidth="1"/>
    <col min="10249" max="10249" width="10.7109375" style="36" customWidth="1"/>
    <col min="10250" max="10250" width="10.5703125" style="36" customWidth="1"/>
    <col min="10251" max="10251" width="1.140625" style="36" customWidth="1"/>
    <col min="10252" max="10252" width="11.28515625" style="36" customWidth="1"/>
    <col min="10253" max="10253" width="12.7109375" style="36" customWidth="1"/>
    <col min="10254" max="10254" width="11.5703125" style="36" customWidth="1"/>
    <col min="10255" max="10255" width="12.42578125" style="36" customWidth="1"/>
    <col min="10256" max="10256" width="1.5703125" style="36" customWidth="1"/>
    <col min="10257" max="10257" width="11.42578125" style="36" customWidth="1"/>
    <col min="10258" max="10258" width="12.140625" style="36" customWidth="1"/>
    <col min="10259" max="10259" width="1.7109375" style="36" customWidth="1"/>
    <col min="10260" max="10260" width="13.5703125" style="36" customWidth="1"/>
    <col min="10261" max="10497" width="8.85546875" style="36"/>
    <col min="10498" max="10498" width="9.28515625" style="36" customWidth="1"/>
    <col min="10499" max="10499" width="1.7109375" style="36" customWidth="1"/>
    <col min="10500" max="10503" width="12" style="36" customWidth="1"/>
    <col min="10504" max="10504" width="11.85546875" style="36" customWidth="1"/>
    <col min="10505" max="10505" width="10.7109375" style="36" customWidth="1"/>
    <col min="10506" max="10506" width="10.5703125" style="36" customWidth="1"/>
    <col min="10507" max="10507" width="1.140625" style="36" customWidth="1"/>
    <col min="10508" max="10508" width="11.28515625" style="36" customWidth="1"/>
    <col min="10509" max="10509" width="12.7109375" style="36" customWidth="1"/>
    <col min="10510" max="10510" width="11.5703125" style="36" customWidth="1"/>
    <col min="10511" max="10511" width="12.42578125" style="36" customWidth="1"/>
    <col min="10512" max="10512" width="1.5703125" style="36" customWidth="1"/>
    <col min="10513" max="10513" width="11.42578125" style="36" customWidth="1"/>
    <col min="10514" max="10514" width="12.140625" style="36" customWidth="1"/>
    <col min="10515" max="10515" width="1.7109375" style="36" customWidth="1"/>
    <col min="10516" max="10516" width="13.5703125" style="36" customWidth="1"/>
    <col min="10517" max="10753" width="8.85546875" style="36"/>
    <col min="10754" max="10754" width="9.28515625" style="36" customWidth="1"/>
    <col min="10755" max="10755" width="1.7109375" style="36" customWidth="1"/>
    <col min="10756" max="10759" width="12" style="36" customWidth="1"/>
    <col min="10760" max="10760" width="11.85546875" style="36" customWidth="1"/>
    <col min="10761" max="10761" width="10.7109375" style="36" customWidth="1"/>
    <col min="10762" max="10762" width="10.5703125" style="36" customWidth="1"/>
    <col min="10763" max="10763" width="1.140625" style="36" customWidth="1"/>
    <col min="10764" max="10764" width="11.28515625" style="36" customWidth="1"/>
    <col min="10765" max="10765" width="12.7109375" style="36" customWidth="1"/>
    <col min="10766" max="10766" width="11.5703125" style="36" customWidth="1"/>
    <col min="10767" max="10767" width="12.42578125" style="36" customWidth="1"/>
    <col min="10768" max="10768" width="1.5703125" style="36" customWidth="1"/>
    <col min="10769" max="10769" width="11.42578125" style="36" customWidth="1"/>
    <col min="10770" max="10770" width="12.140625" style="36" customWidth="1"/>
    <col min="10771" max="10771" width="1.7109375" style="36" customWidth="1"/>
    <col min="10772" max="10772" width="13.5703125" style="36" customWidth="1"/>
    <col min="10773" max="11009" width="8.85546875" style="36"/>
    <col min="11010" max="11010" width="9.28515625" style="36" customWidth="1"/>
    <col min="11011" max="11011" width="1.7109375" style="36" customWidth="1"/>
    <col min="11012" max="11015" width="12" style="36" customWidth="1"/>
    <col min="11016" max="11016" width="11.85546875" style="36" customWidth="1"/>
    <col min="11017" max="11017" width="10.7109375" style="36" customWidth="1"/>
    <col min="11018" max="11018" width="10.5703125" style="36" customWidth="1"/>
    <col min="11019" max="11019" width="1.140625" style="36" customWidth="1"/>
    <col min="11020" max="11020" width="11.28515625" style="36" customWidth="1"/>
    <col min="11021" max="11021" width="12.7109375" style="36" customWidth="1"/>
    <col min="11022" max="11022" width="11.5703125" style="36" customWidth="1"/>
    <col min="11023" max="11023" width="12.42578125" style="36" customWidth="1"/>
    <col min="11024" max="11024" width="1.5703125" style="36" customWidth="1"/>
    <col min="11025" max="11025" width="11.42578125" style="36" customWidth="1"/>
    <col min="11026" max="11026" width="12.140625" style="36" customWidth="1"/>
    <col min="11027" max="11027" width="1.7109375" style="36" customWidth="1"/>
    <col min="11028" max="11028" width="13.5703125" style="36" customWidth="1"/>
    <col min="11029" max="11265" width="8.85546875" style="36"/>
    <col min="11266" max="11266" width="9.28515625" style="36" customWidth="1"/>
    <col min="11267" max="11267" width="1.7109375" style="36" customWidth="1"/>
    <col min="11268" max="11271" width="12" style="36" customWidth="1"/>
    <col min="11272" max="11272" width="11.85546875" style="36" customWidth="1"/>
    <col min="11273" max="11273" width="10.7109375" style="36" customWidth="1"/>
    <col min="11274" max="11274" width="10.5703125" style="36" customWidth="1"/>
    <col min="11275" max="11275" width="1.140625" style="36" customWidth="1"/>
    <col min="11276" max="11276" width="11.28515625" style="36" customWidth="1"/>
    <col min="11277" max="11277" width="12.7109375" style="36" customWidth="1"/>
    <col min="11278" max="11278" width="11.5703125" style="36" customWidth="1"/>
    <col min="11279" max="11279" width="12.42578125" style="36" customWidth="1"/>
    <col min="11280" max="11280" width="1.5703125" style="36" customWidth="1"/>
    <col min="11281" max="11281" width="11.42578125" style="36" customWidth="1"/>
    <col min="11282" max="11282" width="12.140625" style="36" customWidth="1"/>
    <col min="11283" max="11283" width="1.7109375" style="36" customWidth="1"/>
    <col min="11284" max="11284" width="13.5703125" style="36" customWidth="1"/>
    <col min="11285" max="11521" width="8.85546875" style="36"/>
    <col min="11522" max="11522" width="9.28515625" style="36" customWidth="1"/>
    <col min="11523" max="11523" width="1.7109375" style="36" customWidth="1"/>
    <col min="11524" max="11527" width="12" style="36" customWidth="1"/>
    <col min="11528" max="11528" width="11.85546875" style="36" customWidth="1"/>
    <col min="11529" max="11529" width="10.7109375" style="36" customWidth="1"/>
    <col min="11530" max="11530" width="10.5703125" style="36" customWidth="1"/>
    <col min="11531" max="11531" width="1.140625" style="36" customWidth="1"/>
    <col min="11532" max="11532" width="11.28515625" style="36" customWidth="1"/>
    <col min="11533" max="11533" width="12.7109375" style="36" customWidth="1"/>
    <col min="11534" max="11534" width="11.5703125" style="36" customWidth="1"/>
    <col min="11535" max="11535" width="12.42578125" style="36" customWidth="1"/>
    <col min="11536" max="11536" width="1.5703125" style="36" customWidth="1"/>
    <col min="11537" max="11537" width="11.42578125" style="36" customWidth="1"/>
    <col min="11538" max="11538" width="12.140625" style="36" customWidth="1"/>
    <col min="11539" max="11539" width="1.7109375" style="36" customWidth="1"/>
    <col min="11540" max="11540" width="13.5703125" style="36" customWidth="1"/>
    <col min="11541" max="11777" width="8.85546875" style="36"/>
    <col min="11778" max="11778" width="9.28515625" style="36" customWidth="1"/>
    <col min="11779" max="11779" width="1.7109375" style="36" customWidth="1"/>
    <col min="11780" max="11783" width="12" style="36" customWidth="1"/>
    <col min="11784" max="11784" width="11.85546875" style="36" customWidth="1"/>
    <col min="11785" max="11785" width="10.7109375" style="36" customWidth="1"/>
    <col min="11786" max="11786" width="10.5703125" style="36" customWidth="1"/>
    <col min="11787" max="11787" width="1.140625" style="36" customWidth="1"/>
    <col min="11788" max="11788" width="11.28515625" style="36" customWidth="1"/>
    <col min="11789" max="11789" width="12.7109375" style="36" customWidth="1"/>
    <col min="11790" max="11790" width="11.5703125" style="36" customWidth="1"/>
    <col min="11791" max="11791" width="12.42578125" style="36" customWidth="1"/>
    <col min="11792" max="11792" width="1.5703125" style="36" customWidth="1"/>
    <col min="11793" max="11793" width="11.42578125" style="36" customWidth="1"/>
    <col min="11794" max="11794" width="12.140625" style="36" customWidth="1"/>
    <col min="11795" max="11795" width="1.7109375" style="36" customWidth="1"/>
    <col min="11796" max="11796" width="13.5703125" style="36" customWidth="1"/>
    <col min="11797" max="12033" width="8.85546875" style="36"/>
    <col min="12034" max="12034" width="9.28515625" style="36" customWidth="1"/>
    <col min="12035" max="12035" width="1.7109375" style="36" customWidth="1"/>
    <col min="12036" max="12039" width="12" style="36" customWidth="1"/>
    <col min="12040" max="12040" width="11.85546875" style="36" customWidth="1"/>
    <col min="12041" max="12041" width="10.7109375" style="36" customWidth="1"/>
    <col min="12042" max="12042" width="10.5703125" style="36" customWidth="1"/>
    <col min="12043" max="12043" width="1.140625" style="36" customWidth="1"/>
    <col min="12044" max="12044" width="11.28515625" style="36" customWidth="1"/>
    <col min="12045" max="12045" width="12.7109375" style="36" customWidth="1"/>
    <col min="12046" max="12046" width="11.5703125" style="36" customWidth="1"/>
    <col min="12047" max="12047" width="12.42578125" style="36" customWidth="1"/>
    <col min="12048" max="12048" width="1.5703125" style="36" customWidth="1"/>
    <col min="12049" max="12049" width="11.42578125" style="36" customWidth="1"/>
    <col min="12050" max="12050" width="12.140625" style="36" customWidth="1"/>
    <col min="12051" max="12051" width="1.7109375" style="36" customWidth="1"/>
    <col min="12052" max="12052" width="13.5703125" style="36" customWidth="1"/>
    <col min="12053" max="12289" width="8.85546875" style="36"/>
    <col min="12290" max="12290" width="9.28515625" style="36" customWidth="1"/>
    <col min="12291" max="12291" width="1.7109375" style="36" customWidth="1"/>
    <col min="12292" max="12295" width="12" style="36" customWidth="1"/>
    <col min="12296" max="12296" width="11.85546875" style="36" customWidth="1"/>
    <col min="12297" max="12297" width="10.7109375" style="36" customWidth="1"/>
    <col min="12298" max="12298" width="10.5703125" style="36" customWidth="1"/>
    <col min="12299" max="12299" width="1.140625" style="36" customWidth="1"/>
    <col min="12300" max="12300" width="11.28515625" style="36" customWidth="1"/>
    <col min="12301" max="12301" width="12.7109375" style="36" customWidth="1"/>
    <col min="12302" max="12302" width="11.5703125" style="36" customWidth="1"/>
    <col min="12303" max="12303" width="12.42578125" style="36" customWidth="1"/>
    <col min="12304" max="12304" width="1.5703125" style="36" customWidth="1"/>
    <col min="12305" max="12305" width="11.42578125" style="36" customWidth="1"/>
    <col min="12306" max="12306" width="12.140625" style="36" customWidth="1"/>
    <col min="12307" max="12307" width="1.7109375" style="36" customWidth="1"/>
    <col min="12308" max="12308" width="13.5703125" style="36" customWidth="1"/>
    <col min="12309" max="12545" width="8.85546875" style="36"/>
    <col min="12546" max="12546" width="9.28515625" style="36" customWidth="1"/>
    <col min="12547" max="12547" width="1.7109375" style="36" customWidth="1"/>
    <col min="12548" max="12551" width="12" style="36" customWidth="1"/>
    <col min="12552" max="12552" width="11.85546875" style="36" customWidth="1"/>
    <col min="12553" max="12553" width="10.7109375" style="36" customWidth="1"/>
    <col min="12554" max="12554" width="10.5703125" style="36" customWidth="1"/>
    <col min="12555" max="12555" width="1.140625" style="36" customWidth="1"/>
    <col min="12556" max="12556" width="11.28515625" style="36" customWidth="1"/>
    <col min="12557" max="12557" width="12.7109375" style="36" customWidth="1"/>
    <col min="12558" max="12558" width="11.5703125" style="36" customWidth="1"/>
    <col min="12559" max="12559" width="12.42578125" style="36" customWidth="1"/>
    <col min="12560" max="12560" width="1.5703125" style="36" customWidth="1"/>
    <col min="12561" max="12561" width="11.42578125" style="36" customWidth="1"/>
    <col min="12562" max="12562" width="12.140625" style="36" customWidth="1"/>
    <col min="12563" max="12563" width="1.7109375" style="36" customWidth="1"/>
    <col min="12564" max="12564" width="13.5703125" style="36" customWidth="1"/>
    <col min="12565" max="12801" width="8.85546875" style="36"/>
    <col min="12802" max="12802" width="9.28515625" style="36" customWidth="1"/>
    <col min="12803" max="12803" width="1.7109375" style="36" customWidth="1"/>
    <col min="12804" max="12807" width="12" style="36" customWidth="1"/>
    <col min="12808" max="12808" width="11.85546875" style="36" customWidth="1"/>
    <col min="12809" max="12809" width="10.7109375" style="36" customWidth="1"/>
    <col min="12810" max="12810" width="10.5703125" style="36" customWidth="1"/>
    <col min="12811" max="12811" width="1.140625" style="36" customWidth="1"/>
    <col min="12812" max="12812" width="11.28515625" style="36" customWidth="1"/>
    <col min="12813" max="12813" width="12.7109375" style="36" customWidth="1"/>
    <col min="12814" max="12814" width="11.5703125" style="36" customWidth="1"/>
    <col min="12815" max="12815" width="12.42578125" style="36" customWidth="1"/>
    <col min="12816" max="12816" width="1.5703125" style="36" customWidth="1"/>
    <col min="12817" max="12817" width="11.42578125" style="36" customWidth="1"/>
    <col min="12818" max="12818" width="12.140625" style="36" customWidth="1"/>
    <col min="12819" max="12819" width="1.7109375" style="36" customWidth="1"/>
    <col min="12820" max="12820" width="13.5703125" style="36" customWidth="1"/>
    <col min="12821" max="13057" width="8.85546875" style="36"/>
    <col min="13058" max="13058" width="9.28515625" style="36" customWidth="1"/>
    <col min="13059" max="13059" width="1.7109375" style="36" customWidth="1"/>
    <col min="13060" max="13063" width="12" style="36" customWidth="1"/>
    <col min="13064" max="13064" width="11.85546875" style="36" customWidth="1"/>
    <col min="13065" max="13065" width="10.7109375" style="36" customWidth="1"/>
    <col min="13066" max="13066" width="10.5703125" style="36" customWidth="1"/>
    <col min="13067" max="13067" width="1.140625" style="36" customWidth="1"/>
    <col min="13068" max="13068" width="11.28515625" style="36" customWidth="1"/>
    <col min="13069" max="13069" width="12.7109375" style="36" customWidth="1"/>
    <col min="13070" max="13070" width="11.5703125" style="36" customWidth="1"/>
    <col min="13071" max="13071" width="12.42578125" style="36" customWidth="1"/>
    <col min="13072" max="13072" width="1.5703125" style="36" customWidth="1"/>
    <col min="13073" max="13073" width="11.42578125" style="36" customWidth="1"/>
    <col min="13074" max="13074" width="12.140625" style="36" customWidth="1"/>
    <col min="13075" max="13075" width="1.7109375" style="36" customWidth="1"/>
    <col min="13076" max="13076" width="13.5703125" style="36" customWidth="1"/>
    <col min="13077" max="13313" width="8.85546875" style="36"/>
    <col min="13314" max="13314" width="9.28515625" style="36" customWidth="1"/>
    <col min="13315" max="13315" width="1.7109375" style="36" customWidth="1"/>
    <col min="13316" max="13319" width="12" style="36" customWidth="1"/>
    <col min="13320" max="13320" width="11.85546875" style="36" customWidth="1"/>
    <col min="13321" max="13321" width="10.7109375" style="36" customWidth="1"/>
    <col min="13322" max="13322" width="10.5703125" style="36" customWidth="1"/>
    <col min="13323" max="13323" width="1.140625" style="36" customWidth="1"/>
    <col min="13324" max="13324" width="11.28515625" style="36" customWidth="1"/>
    <col min="13325" max="13325" width="12.7109375" style="36" customWidth="1"/>
    <col min="13326" max="13326" width="11.5703125" style="36" customWidth="1"/>
    <col min="13327" max="13327" width="12.42578125" style="36" customWidth="1"/>
    <col min="13328" max="13328" width="1.5703125" style="36" customWidth="1"/>
    <col min="13329" max="13329" width="11.42578125" style="36" customWidth="1"/>
    <col min="13330" max="13330" width="12.140625" style="36" customWidth="1"/>
    <col min="13331" max="13331" width="1.7109375" style="36" customWidth="1"/>
    <col min="13332" max="13332" width="13.5703125" style="36" customWidth="1"/>
    <col min="13333" max="13569" width="8.85546875" style="36"/>
    <col min="13570" max="13570" width="9.28515625" style="36" customWidth="1"/>
    <col min="13571" max="13571" width="1.7109375" style="36" customWidth="1"/>
    <col min="13572" max="13575" width="12" style="36" customWidth="1"/>
    <col min="13576" max="13576" width="11.85546875" style="36" customWidth="1"/>
    <col min="13577" max="13577" width="10.7109375" style="36" customWidth="1"/>
    <col min="13578" max="13578" width="10.5703125" style="36" customWidth="1"/>
    <col min="13579" max="13579" width="1.140625" style="36" customWidth="1"/>
    <col min="13580" max="13580" width="11.28515625" style="36" customWidth="1"/>
    <col min="13581" max="13581" width="12.7109375" style="36" customWidth="1"/>
    <col min="13582" max="13582" width="11.5703125" style="36" customWidth="1"/>
    <col min="13583" max="13583" width="12.42578125" style="36" customWidth="1"/>
    <col min="13584" max="13584" width="1.5703125" style="36" customWidth="1"/>
    <col min="13585" max="13585" width="11.42578125" style="36" customWidth="1"/>
    <col min="13586" max="13586" width="12.140625" style="36" customWidth="1"/>
    <col min="13587" max="13587" width="1.7109375" style="36" customWidth="1"/>
    <col min="13588" max="13588" width="13.5703125" style="36" customWidth="1"/>
    <col min="13589" max="13825" width="8.85546875" style="36"/>
    <col min="13826" max="13826" width="9.28515625" style="36" customWidth="1"/>
    <col min="13827" max="13827" width="1.7109375" style="36" customWidth="1"/>
    <col min="13828" max="13831" width="12" style="36" customWidth="1"/>
    <col min="13832" max="13832" width="11.85546875" style="36" customWidth="1"/>
    <col min="13833" max="13833" width="10.7109375" style="36" customWidth="1"/>
    <col min="13834" max="13834" width="10.5703125" style="36" customWidth="1"/>
    <col min="13835" max="13835" width="1.140625" style="36" customWidth="1"/>
    <col min="13836" max="13836" width="11.28515625" style="36" customWidth="1"/>
    <col min="13837" max="13837" width="12.7109375" style="36" customWidth="1"/>
    <col min="13838" max="13838" width="11.5703125" style="36" customWidth="1"/>
    <col min="13839" max="13839" width="12.42578125" style="36" customWidth="1"/>
    <col min="13840" max="13840" width="1.5703125" style="36" customWidth="1"/>
    <col min="13841" max="13841" width="11.42578125" style="36" customWidth="1"/>
    <col min="13842" max="13842" width="12.140625" style="36" customWidth="1"/>
    <col min="13843" max="13843" width="1.7109375" style="36" customWidth="1"/>
    <col min="13844" max="13844" width="13.5703125" style="36" customWidth="1"/>
    <col min="13845" max="14081" width="8.85546875" style="36"/>
    <col min="14082" max="14082" width="9.28515625" style="36" customWidth="1"/>
    <col min="14083" max="14083" width="1.7109375" style="36" customWidth="1"/>
    <col min="14084" max="14087" width="12" style="36" customWidth="1"/>
    <col min="14088" max="14088" width="11.85546875" style="36" customWidth="1"/>
    <col min="14089" max="14089" width="10.7109375" style="36" customWidth="1"/>
    <col min="14090" max="14090" width="10.5703125" style="36" customWidth="1"/>
    <col min="14091" max="14091" width="1.140625" style="36" customWidth="1"/>
    <col min="14092" max="14092" width="11.28515625" style="36" customWidth="1"/>
    <col min="14093" max="14093" width="12.7109375" style="36" customWidth="1"/>
    <col min="14094" max="14094" width="11.5703125" style="36" customWidth="1"/>
    <col min="14095" max="14095" width="12.42578125" style="36" customWidth="1"/>
    <col min="14096" max="14096" width="1.5703125" style="36" customWidth="1"/>
    <col min="14097" max="14097" width="11.42578125" style="36" customWidth="1"/>
    <col min="14098" max="14098" width="12.140625" style="36" customWidth="1"/>
    <col min="14099" max="14099" width="1.7109375" style="36" customWidth="1"/>
    <col min="14100" max="14100" width="13.5703125" style="36" customWidth="1"/>
    <col min="14101" max="14337" width="8.85546875" style="36"/>
    <col min="14338" max="14338" width="9.28515625" style="36" customWidth="1"/>
    <col min="14339" max="14339" width="1.7109375" style="36" customWidth="1"/>
    <col min="14340" max="14343" width="12" style="36" customWidth="1"/>
    <col min="14344" max="14344" width="11.85546875" style="36" customWidth="1"/>
    <col min="14345" max="14345" width="10.7109375" style="36" customWidth="1"/>
    <col min="14346" max="14346" width="10.5703125" style="36" customWidth="1"/>
    <col min="14347" max="14347" width="1.140625" style="36" customWidth="1"/>
    <col min="14348" max="14348" width="11.28515625" style="36" customWidth="1"/>
    <col min="14349" max="14349" width="12.7109375" style="36" customWidth="1"/>
    <col min="14350" max="14350" width="11.5703125" style="36" customWidth="1"/>
    <col min="14351" max="14351" width="12.42578125" style="36" customWidth="1"/>
    <col min="14352" max="14352" width="1.5703125" style="36" customWidth="1"/>
    <col min="14353" max="14353" width="11.42578125" style="36" customWidth="1"/>
    <col min="14354" max="14354" width="12.140625" style="36" customWidth="1"/>
    <col min="14355" max="14355" width="1.7109375" style="36" customWidth="1"/>
    <col min="14356" max="14356" width="13.5703125" style="36" customWidth="1"/>
    <col min="14357" max="14593" width="8.85546875" style="36"/>
    <col min="14594" max="14594" width="9.28515625" style="36" customWidth="1"/>
    <col min="14595" max="14595" width="1.7109375" style="36" customWidth="1"/>
    <col min="14596" max="14599" width="12" style="36" customWidth="1"/>
    <col min="14600" max="14600" width="11.85546875" style="36" customWidth="1"/>
    <col min="14601" max="14601" width="10.7109375" style="36" customWidth="1"/>
    <col min="14602" max="14602" width="10.5703125" style="36" customWidth="1"/>
    <col min="14603" max="14603" width="1.140625" style="36" customWidth="1"/>
    <col min="14604" max="14604" width="11.28515625" style="36" customWidth="1"/>
    <col min="14605" max="14605" width="12.7109375" style="36" customWidth="1"/>
    <col min="14606" max="14606" width="11.5703125" style="36" customWidth="1"/>
    <col min="14607" max="14607" width="12.42578125" style="36" customWidth="1"/>
    <col min="14608" max="14608" width="1.5703125" style="36" customWidth="1"/>
    <col min="14609" max="14609" width="11.42578125" style="36" customWidth="1"/>
    <col min="14610" max="14610" width="12.140625" style="36" customWidth="1"/>
    <col min="14611" max="14611" width="1.7109375" style="36" customWidth="1"/>
    <col min="14612" max="14612" width="13.5703125" style="36" customWidth="1"/>
    <col min="14613" max="14849" width="8.85546875" style="36"/>
    <col min="14850" max="14850" width="9.28515625" style="36" customWidth="1"/>
    <col min="14851" max="14851" width="1.7109375" style="36" customWidth="1"/>
    <col min="14852" max="14855" width="12" style="36" customWidth="1"/>
    <col min="14856" max="14856" width="11.85546875" style="36" customWidth="1"/>
    <col min="14857" max="14857" width="10.7109375" style="36" customWidth="1"/>
    <col min="14858" max="14858" width="10.5703125" style="36" customWidth="1"/>
    <col min="14859" max="14859" width="1.140625" style="36" customWidth="1"/>
    <col min="14860" max="14860" width="11.28515625" style="36" customWidth="1"/>
    <col min="14861" max="14861" width="12.7109375" style="36" customWidth="1"/>
    <col min="14862" max="14862" width="11.5703125" style="36" customWidth="1"/>
    <col min="14863" max="14863" width="12.42578125" style="36" customWidth="1"/>
    <col min="14864" max="14864" width="1.5703125" style="36" customWidth="1"/>
    <col min="14865" max="14865" width="11.42578125" style="36" customWidth="1"/>
    <col min="14866" max="14866" width="12.140625" style="36" customWidth="1"/>
    <col min="14867" max="14867" width="1.7109375" style="36" customWidth="1"/>
    <col min="14868" max="14868" width="13.5703125" style="36" customWidth="1"/>
    <col min="14869" max="15105" width="8.85546875" style="36"/>
    <col min="15106" max="15106" width="9.28515625" style="36" customWidth="1"/>
    <col min="15107" max="15107" width="1.7109375" style="36" customWidth="1"/>
    <col min="15108" max="15111" width="12" style="36" customWidth="1"/>
    <col min="15112" max="15112" width="11.85546875" style="36" customWidth="1"/>
    <col min="15113" max="15113" width="10.7109375" style="36" customWidth="1"/>
    <col min="15114" max="15114" width="10.5703125" style="36" customWidth="1"/>
    <col min="15115" max="15115" width="1.140625" style="36" customWidth="1"/>
    <col min="15116" max="15116" width="11.28515625" style="36" customWidth="1"/>
    <col min="15117" max="15117" width="12.7109375" style="36" customWidth="1"/>
    <col min="15118" max="15118" width="11.5703125" style="36" customWidth="1"/>
    <col min="15119" max="15119" width="12.42578125" style="36" customWidth="1"/>
    <col min="15120" max="15120" width="1.5703125" style="36" customWidth="1"/>
    <col min="15121" max="15121" width="11.42578125" style="36" customWidth="1"/>
    <col min="15122" max="15122" width="12.140625" style="36" customWidth="1"/>
    <col min="15123" max="15123" width="1.7109375" style="36" customWidth="1"/>
    <col min="15124" max="15124" width="13.5703125" style="36" customWidth="1"/>
    <col min="15125" max="15361" width="8.85546875" style="36"/>
    <col min="15362" max="15362" width="9.28515625" style="36" customWidth="1"/>
    <col min="15363" max="15363" width="1.7109375" style="36" customWidth="1"/>
    <col min="15364" max="15367" width="12" style="36" customWidth="1"/>
    <col min="15368" max="15368" width="11.85546875" style="36" customWidth="1"/>
    <col min="15369" max="15369" width="10.7109375" style="36" customWidth="1"/>
    <col min="15370" max="15370" width="10.5703125" style="36" customWidth="1"/>
    <col min="15371" max="15371" width="1.140625" style="36" customWidth="1"/>
    <col min="15372" max="15372" width="11.28515625" style="36" customWidth="1"/>
    <col min="15373" max="15373" width="12.7109375" style="36" customWidth="1"/>
    <col min="15374" max="15374" width="11.5703125" style="36" customWidth="1"/>
    <col min="15375" max="15375" width="12.42578125" style="36" customWidth="1"/>
    <col min="15376" max="15376" width="1.5703125" style="36" customWidth="1"/>
    <col min="15377" max="15377" width="11.42578125" style="36" customWidth="1"/>
    <col min="15378" max="15378" width="12.140625" style="36" customWidth="1"/>
    <col min="15379" max="15379" width="1.7109375" style="36" customWidth="1"/>
    <col min="15380" max="15380" width="13.5703125" style="36" customWidth="1"/>
    <col min="15381" max="15617" width="8.85546875" style="36"/>
    <col min="15618" max="15618" width="9.28515625" style="36" customWidth="1"/>
    <col min="15619" max="15619" width="1.7109375" style="36" customWidth="1"/>
    <col min="15620" max="15623" width="12" style="36" customWidth="1"/>
    <col min="15624" max="15624" width="11.85546875" style="36" customWidth="1"/>
    <col min="15625" max="15625" width="10.7109375" style="36" customWidth="1"/>
    <col min="15626" max="15626" width="10.5703125" style="36" customWidth="1"/>
    <col min="15627" max="15627" width="1.140625" style="36" customWidth="1"/>
    <col min="15628" max="15628" width="11.28515625" style="36" customWidth="1"/>
    <col min="15629" max="15629" width="12.7109375" style="36" customWidth="1"/>
    <col min="15630" max="15630" width="11.5703125" style="36" customWidth="1"/>
    <col min="15631" max="15631" width="12.42578125" style="36" customWidth="1"/>
    <col min="15632" max="15632" width="1.5703125" style="36" customWidth="1"/>
    <col min="15633" max="15633" width="11.42578125" style="36" customWidth="1"/>
    <col min="15634" max="15634" width="12.140625" style="36" customWidth="1"/>
    <col min="15635" max="15635" width="1.7109375" style="36" customWidth="1"/>
    <col min="15636" max="15636" width="13.5703125" style="36" customWidth="1"/>
    <col min="15637" max="15873" width="8.85546875" style="36"/>
    <col min="15874" max="15874" width="9.28515625" style="36" customWidth="1"/>
    <col min="15875" max="15875" width="1.7109375" style="36" customWidth="1"/>
    <col min="15876" max="15879" width="12" style="36" customWidth="1"/>
    <col min="15880" max="15880" width="11.85546875" style="36" customWidth="1"/>
    <col min="15881" max="15881" width="10.7109375" style="36" customWidth="1"/>
    <col min="15882" max="15882" width="10.5703125" style="36" customWidth="1"/>
    <col min="15883" max="15883" width="1.140625" style="36" customWidth="1"/>
    <col min="15884" max="15884" width="11.28515625" style="36" customWidth="1"/>
    <col min="15885" max="15885" width="12.7109375" style="36" customWidth="1"/>
    <col min="15886" max="15886" width="11.5703125" style="36" customWidth="1"/>
    <col min="15887" max="15887" width="12.42578125" style="36" customWidth="1"/>
    <col min="15888" max="15888" width="1.5703125" style="36" customWidth="1"/>
    <col min="15889" max="15889" width="11.42578125" style="36" customWidth="1"/>
    <col min="15890" max="15890" width="12.140625" style="36" customWidth="1"/>
    <col min="15891" max="15891" width="1.7109375" style="36" customWidth="1"/>
    <col min="15892" max="15892" width="13.5703125" style="36" customWidth="1"/>
    <col min="15893" max="16129" width="8.85546875" style="36"/>
    <col min="16130" max="16130" width="9.28515625" style="36" customWidth="1"/>
    <col min="16131" max="16131" width="1.7109375" style="36" customWidth="1"/>
    <col min="16132" max="16135" width="12" style="36" customWidth="1"/>
    <col min="16136" max="16136" width="11.85546875" style="36" customWidth="1"/>
    <col min="16137" max="16137" width="10.7109375" style="36" customWidth="1"/>
    <col min="16138" max="16138" width="10.5703125" style="36" customWidth="1"/>
    <col min="16139" max="16139" width="1.140625" style="36" customWidth="1"/>
    <col min="16140" max="16140" width="11.28515625" style="36" customWidth="1"/>
    <col min="16141" max="16141" width="12.7109375" style="36" customWidth="1"/>
    <col min="16142" max="16142" width="11.5703125" style="36" customWidth="1"/>
    <col min="16143" max="16143" width="12.42578125" style="36" customWidth="1"/>
    <col min="16144" max="16144" width="1.5703125" style="36" customWidth="1"/>
    <col min="16145" max="16145" width="11.42578125" style="36" customWidth="1"/>
    <col min="16146" max="16146" width="12.140625" style="36" customWidth="1"/>
    <col min="16147" max="16147" width="1.7109375" style="36" customWidth="1"/>
    <col min="16148" max="16148" width="13.5703125" style="36" customWidth="1"/>
    <col min="16149" max="16384" width="8.85546875" style="36"/>
  </cols>
  <sheetData>
    <row r="1" spans="1:20" ht="18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ht="15.75" x14ac:dyDescent="0.25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1:20" s="4" customFormat="1" ht="15.75" x14ac:dyDescent="0.25">
      <c r="A3" s="128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</row>
    <row r="4" spans="1:20" s="87" customFormat="1" ht="14.25" customHeight="1" x14ac:dyDescent="0.25">
      <c r="A4" s="129" t="s">
        <v>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</row>
    <row r="5" spans="1:20" s="87" customFormat="1" x14ac:dyDescent="0.25">
      <c r="A5" s="131" t="s">
        <v>4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</row>
    <row r="6" spans="1:20" s="4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s="4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</row>
    <row r="8" spans="1:20" s="88" customFormat="1" ht="14.25" customHeight="1" x14ac:dyDescent="0.25">
      <c r="A8" s="121" t="s">
        <v>62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3"/>
    </row>
    <row r="9" spans="1:20" s="4" customFormat="1" ht="9" customHeight="1" x14ac:dyDescent="0.25">
      <c r="A9" s="5"/>
      <c r="B9" s="5"/>
      <c r="C9" s="6"/>
      <c r="D9" s="6"/>
      <c r="E9" s="6"/>
      <c r="F9" s="6"/>
      <c r="G9" s="6"/>
      <c r="H9" s="7"/>
      <c r="I9" s="8"/>
      <c r="J9" s="7"/>
      <c r="K9" s="7"/>
      <c r="L9" s="7"/>
      <c r="M9" s="7"/>
      <c r="N9" s="7"/>
      <c r="O9" s="7"/>
      <c r="P9" s="7"/>
      <c r="Q9" s="7"/>
      <c r="R9" s="7"/>
    </row>
    <row r="10" spans="1:20" s="14" customFormat="1" ht="12.75" x14ac:dyDescent="0.2">
      <c r="A10" s="10"/>
      <c r="B10" s="10"/>
      <c r="C10" s="118" t="s">
        <v>6</v>
      </c>
      <c r="D10" s="119"/>
      <c r="E10" s="119"/>
      <c r="F10" s="119"/>
      <c r="G10" s="119"/>
      <c r="H10" s="119"/>
      <c r="I10" s="119"/>
      <c r="J10" s="120"/>
      <c r="K10" s="12"/>
      <c r="L10" s="118" t="s">
        <v>7</v>
      </c>
      <c r="M10" s="119"/>
      <c r="N10" s="119"/>
      <c r="O10" s="120"/>
      <c r="P10" s="13"/>
      <c r="Q10" s="118" t="s">
        <v>8</v>
      </c>
      <c r="R10" s="120"/>
    </row>
    <row r="11" spans="1:20" s="20" customFormat="1" ht="12" x14ac:dyDescent="0.2">
      <c r="A11" s="16"/>
      <c r="B11" s="16"/>
      <c r="C11" s="17"/>
      <c r="D11" s="18" t="s">
        <v>9</v>
      </c>
      <c r="E11" s="17"/>
      <c r="F11" s="17"/>
      <c r="G11" s="17"/>
      <c r="H11" s="18" t="s">
        <v>11</v>
      </c>
      <c r="I11" s="19" t="s">
        <v>10</v>
      </c>
      <c r="J11" s="17"/>
      <c r="K11" s="17"/>
      <c r="L11" s="18" t="s">
        <v>11</v>
      </c>
      <c r="M11" s="18"/>
      <c r="N11" s="18" t="s">
        <v>9</v>
      </c>
      <c r="O11" s="18" t="s">
        <v>11</v>
      </c>
      <c r="Q11" s="18" t="s">
        <v>11</v>
      </c>
      <c r="R11" s="18" t="s">
        <v>11</v>
      </c>
      <c r="T11" s="18" t="s">
        <v>11</v>
      </c>
    </row>
    <row r="12" spans="1:20" s="24" customFormat="1" ht="12" x14ac:dyDescent="0.2">
      <c r="A12" s="22"/>
      <c r="B12" s="22"/>
      <c r="C12" s="18" t="s">
        <v>12</v>
      </c>
      <c r="D12" s="23" t="s">
        <v>13</v>
      </c>
      <c r="E12" s="18" t="s">
        <v>12</v>
      </c>
      <c r="F12" s="18" t="s">
        <v>63</v>
      </c>
      <c r="G12" s="18"/>
      <c r="H12" s="18" t="s">
        <v>14</v>
      </c>
      <c r="I12" s="19" t="s">
        <v>15</v>
      </c>
      <c r="J12" s="18" t="s">
        <v>16</v>
      </c>
      <c r="K12" s="18"/>
      <c r="L12" s="24" t="s">
        <v>10</v>
      </c>
      <c r="M12" s="18" t="s">
        <v>17</v>
      </c>
      <c r="N12" s="18" t="s">
        <v>17</v>
      </c>
      <c r="O12" s="18" t="s">
        <v>17</v>
      </c>
      <c r="Q12" s="24" t="s">
        <v>10</v>
      </c>
      <c r="R12" s="18" t="s">
        <v>18</v>
      </c>
      <c r="T12" s="18" t="s">
        <v>11</v>
      </c>
    </row>
    <row r="13" spans="1:20" s="24" customFormat="1" ht="12" x14ac:dyDescent="0.2">
      <c r="A13" s="26" t="s">
        <v>19</v>
      </c>
      <c r="B13" s="26"/>
      <c r="C13" s="27" t="s">
        <v>20</v>
      </c>
      <c r="D13" s="27" t="s">
        <v>12</v>
      </c>
      <c r="E13" s="27" t="s">
        <v>21</v>
      </c>
      <c r="F13" s="27" t="s">
        <v>64</v>
      </c>
      <c r="G13" s="27"/>
      <c r="H13" s="27" t="s">
        <v>22</v>
      </c>
      <c r="I13" s="28" t="s">
        <v>23</v>
      </c>
      <c r="J13" s="27" t="s">
        <v>24</v>
      </c>
      <c r="K13" s="23"/>
      <c r="L13" s="27" t="s">
        <v>25</v>
      </c>
      <c r="M13" s="27" t="s">
        <v>26</v>
      </c>
      <c r="N13" s="27" t="s">
        <v>12</v>
      </c>
      <c r="O13" s="27" t="s">
        <v>22</v>
      </c>
      <c r="P13" s="29"/>
      <c r="Q13" s="27" t="s">
        <v>8</v>
      </c>
      <c r="R13" s="27" t="s">
        <v>22</v>
      </c>
      <c r="T13" s="27" t="s">
        <v>27</v>
      </c>
    </row>
    <row r="14" spans="1:20" x14ac:dyDescent="0.25">
      <c r="A14" s="5">
        <v>42826</v>
      </c>
      <c r="C14" s="30">
        <v>80647208.260000005</v>
      </c>
      <c r="D14" s="30">
        <v>1037054.8799999999</v>
      </c>
      <c r="E14" s="30">
        <v>72720079.610000014</v>
      </c>
      <c r="F14" s="30">
        <v>0</v>
      </c>
      <c r="G14" s="30"/>
      <c r="H14" s="30">
        <v>6890073.7699999968</v>
      </c>
      <c r="I14" s="37">
        <v>1150</v>
      </c>
      <c r="J14" s="30">
        <v>199.71228318840571</v>
      </c>
      <c r="L14" s="33">
        <v>67</v>
      </c>
      <c r="M14" s="34">
        <v>19586673.5</v>
      </c>
      <c r="N14" s="34">
        <v>1615</v>
      </c>
      <c r="O14" s="34">
        <v>3753864.2499999995</v>
      </c>
      <c r="Q14" s="35">
        <v>15</v>
      </c>
      <c r="R14" s="32">
        <v>561659</v>
      </c>
      <c r="T14" s="30">
        <v>11205597.019999996</v>
      </c>
    </row>
    <row r="15" spans="1:20" x14ac:dyDescent="0.25">
      <c r="A15" s="5">
        <v>42856</v>
      </c>
      <c r="C15" s="30">
        <v>80456670.589999974</v>
      </c>
      <c r="D15" s="30">
        <v>909032.91999999993</v>
      </c>
      <c r="E15" s="30">
        <v>72848796.559999987</v>
      </c>
      <c r="F15" s="30">
        <v>0</v>
      </c>
      <c r="G15" s="30"/>
      <c r="H15" s="30">
        <v>6698841.1099999985</v>
      </c>
      <c r="I15" s="37">
        <v>1150</v>
      </c>
      <c r="J15" s="30">
        <v>187.90578148667595</v>
      </c>
      <c r="K15" s="37"/>
      <c r="L15" s="37">
        <v>67</v>
      </c>
      <c r="M15" s="30">
        <v>18567364.5</v>
      </c>
      <c r="N15" s="30">
        <v>48580</v>
      </c>
      <c r="O15" s="30">
        <v>3628678.6999999997</v>
      </c>
      <c r="P15" s="37"/>
      <c r="Q15" s="35">
        <v>15.870967741935484</v>
      </c>
      <c r="R15" s="32">
        <v>561790.25</v>
      </c>
      <c r="S15" s="37"/>
      <c r="T15" s="30">
        <v>10889310.059999999</v>
      </c>
    </row>
    <row r="16" spans="1:20" x14ac:dyDescent="0.25">
      <c r="A16" s="5">
        <v>42887</v>
      </c>
      <c r="C16" s="30">
        <v>74907543.900000006</v>
      </c>
      <c r="D16" s="30">
        <v>877195.20000000019</v>
      </c>
      <c r="E16" s="30">
        <v>67724577.939999998</v>
      </c>
      <c r="F16" s="30">
        <v>0</v>
      </c>
      <c r="G16" s="30"/>
      <c r="H16" s="30">
        <v>6305770.7599999979</v>
      </c>
      <c r="I16" s="37">
        <v>1150</v>
      </c>
      <c r="J16" s="30">
        <v>182.77596405797095</v>
      </c>
      <c r="K16" s="37"/>
      <c r="L16" s="37">
        <v>67</v>
      </c>
      <c r="M16" s="30">
        <v>17950241.509999998</v>
      </c>
      <c r="N16" s="30">
        <v>58865</v>
      </c>
      <c r="O16" s="30">
        <v>3257455.0599999996</v>
      </c>
      <c r="P16" s="37"/>
      <c r="Q16" s="35">
        <v>16</v>
      </c>
      <c r="R16" s="32">
        <v>453207</v>
      </c>
      <c r="S16" s="37"/>
      <c r="T16" s="30">
        <v>10016432.819999997</v>
      </c>
    </row>
    <row r="17" spans="1:20" x14ac:dyDescent="0.25">
      <c r="A17" s="5">
        <v>42917</v>
      </c>
      <c r="C17" s="30">
        <v>97401270.561000019</v>
      </c>
      <c r="D17" s="30">
        <v>1660973.4100000001</v>
      </c>
      <c r="E17" s="30">
        <v>87791544.589999989</v>
      </c>
      <c r="F17" s="30">
        <v>0</v>
      </c>
      <c r="G17" s="38"/>
      <c r="H17" s="30">
        <v>7948752.5610000007</v>
      </c>
      <c r="I17" s="37">
        <v>1150</v>
      </c>
      <c r="J17" s="30">
        <v>222.96641124824686</v>
      </c>
      <c r="K17" s="38"/>
      <c r="L17" s="37">
        <v>67</v>
      </c>
      <c r="M17" s="30">
        <v>18479728.559999999</v>
      </c>
      <c r="N17" s="30">
        <v>179125</v>
      </c>
      <c r="O17" s="30">
        <v>4879371.8600000003</v>
      </c>
      <c r="P17" s="38"/>
      <c r="Q17" s="35">
        <v>16</v>
      </c>
      <c r="R17" s="32">
        <v>469133</v>
      </c>
      <c r="S17" s="38"/>
      <c r="T17" s="30">
        <v>13297257.421</v>
      </c>
    </row>
    <row r="18" spans="1:20" x14ac:dyDescent="0.25">
      <c r="A18" s="5">
        <v>42948</v>
      </c>
      <c r="C18" s="30">
        <v>98325180.199999988</v>
      </c>
      <c r="D18" s="30">
        <v>1804817.0499999993</v>
      </c>
      <c r="E18" s="30">
        <v>88860468.320000008</v>
      </c>
      <c r="F18" s="30">
        <v>0</v>
      </c>
      <c r="G18" s="38"/>
      <c r="H18" s="30">
        <v>7659894.8299999982</v>
      </c>
      <c r="I18" s="37">
        <v>1150</v>
      </c>
      <c r="J18" s="30">
        <v>214.86381009817669</v>
      </c>
      <c r="K18" s="38"/>
      <c r="L18" s="37">
        <v>67</v>
      </c>
      <c r="M18" s="30">
        <v>18227067.68</v>
      </c>
      <c r="N18" s="30">
        <v>240750</v>
      </c>
      <c r="O18" s="30">
        <v>3556519.4899999998</v>
      </c>
      <c r="P18" s="38"/>
      <c r="Q18" s="35">
        <v>16</v>
      </c>
      <c r="R18" s="32">
        <v>476139</v>
      </c>
      <c r="S18" s="38"/>
      <c r="T18" s="30">
        <v>11692553.319999998</v>
      </c>
    </row>
    <row r="19" spans="1:20" x14ac:dyDescent="0.25">
      <c r="A19" s="5">
        <v>42979</v>
      </c>
      <c r="C19" s="30">
        <v>100125309.67</v>
      </c>
      <c r="D19" s="30">
        <v>1702541.4700000002</v>
      </c>
      <c r="E19" s="30">
        <v>90718697.319999993</v>
      </c>
      <c r="F19" s="30">
        <v>0</v>
      </c>
      <c r="G19" s="38"/>
      <c r="H19" s="30">
        <v>7704070.8799999999</v>
      </c>
      <c r="I19" s="37">
        <v>1150</v>
      </c>
      <c r="J19" s="30">
        <v>223.30640231884055</v>
      </c>
      <c r="K19" s="38"/>
      <c r="L19" s="37">
        <v>67</v>
      </c>
      <c r="M19" s="30">
        <v>16586374</v>
      </c>
      <c r="N19" s="30">
        <v>353715</v>
      </c>
      <c r="O19" s="30">
        <v>3918892.95</v>
      </c>
      <c r="P19" s="38"/>
      <c r="Q19" s="35">
        <v>16</v>
      </c>
      <c r="R19" s="32">
        <v>425064</v>
      </c>
      <c r="S19" s="38"/>
      <c r="T19" s="30">
        <v>12048027.83</v>
      </c>
    </row>
    <row r="20" spans="1:20" x14ac:dyDescent="0.25">
      <c r="A20" s="5">
        <v>43009</v>
      </c>
      <c r="C20" s="30">
        <v>97564760.540000021</v>
      </c>
      <c r="D20" s="30">
        <v>1331963.9500000002</v>
      </c>
      <c r="E20" s="30">
        <v>88515691.700000018</v>
      </c>
      <c r="F20" s="30">
        <v>0</v>
      </c>
      <c r="G20" s="38"/>
      <c r="H20" s="30">
        <v>7717104.8900000006</v>
      </c>
      <c r="I20" s="37">
        <v>1150</v>
      </c>
      <c r="J20" s="30">
        <v>216.46858036465639</v>
      </c>
      <c r="K20" s="38"/>
      <c r="L20" s="37">
        <v>67</v>
      </c>
      <c r="M20" s="30">
        <v>16658613.869999999</v>
      </c>
      <c r="N20" s="30">
        <v>206480</v>
      </c>
      <c r="O20" s="30">
        <v>2981794.12</v>
      </c>
      <c r="P20" s="38"/>
      <c r="Q20" s="35">
        <v>16</v>
      </c>
      <c r="R20" s="32">
        <v>413827</v>
      </c>
      <c r="S20" s="38"/>
      <c r="T20" s="30">
        <v>11112726.010000002</v>
      </c>
    </row>
    <row r="21" spans="1:20" x14ac:dyDescent="0.25">
      <c r="A21" s="5">
        <v>43040</v>
      </c>
      <c r="C21" s="30">
        <v>92678370.700000003</v>
      </c>
      <c r="D21" s="30">
        <v>898677.93</v>
      </c>
      <c r="E21" s="30">
        <v>84015567.389999971</v>
      </c>
      <c r="F21" s="30">
        <v>0</v>
      </c>
      <c r="G21" s="38"/>
      <c r="H21" s="30">
        <v>7764125.3800000018</v>
      </c>
      <c r="I21" s="37">
        <v>1150</v>
      </c>
      <c r="J21" s="30">
        <v>225.04711246376817</v>
      </c>
      <c r="K21" s="38"/>
      <c r="L21" s="37">
        <v>67</v>
      </c>
      <c r="M21" s="30">
        <v>16598991.35</v>
      </c>
      <c r="N21" s="30">
        <v>121775</v>
      </c>
      <c r="O21" s="30">
        <v>3695058.85</v>
      </c>
      <c r="P21" s="38"/>
      <c r="Q21" s="35">
        <v>16</v>
      </c>
      <c r="R21" s="32">
        <v>430709</v>
      </c>
      <c r="S21" s="38"/>
      <c r="T21" s="30">
        <v>11889893.230000002</v>
      </c>
    </row>
    <row r="22" spans="1:20" x14ac:dyDescent="0.25">
      <c r="A22" s="5">
        <v>43070</v>
      </c>
      <c r="C22" s="30">
        <v>89350666.770000011</v>
      </c>
      <c r="D22" s="30">
        <v>692447.26</v>
      </c>
      <c r="E22" s="30">
        <v>81263794.310000002</v>
      </c>
      <c r="F22" s="30">
        <v>0</v>
      </c>
      <c r="G22" s="38"/>
      <c r="H22" s="30">
        <v>7394425.2000000002</v>
      </c>
      <c r="I22" s="37">
        <v>1150</v>
      </c>
      <c r="J22" s="30">
        <v>207.41725666199159</v>
      </c>
      <c r="K22" s="38"/>
      <c r="L22" s="37">
        <v>67</v>
      </c>
      <c r="M22" s="30">
        <v>16401434.5</v>
      </c>
      <c r="N22" s="30">
        <v>127160</v>
      </c>
      <c r="O22" s="30">
        <v>3573031.2499999995</v>
      </c>
      <c r="P22" s="38"/>
      <c r="Q22" s="35">
        <v>16</v>
      </c>
      <c r="R22" s="32">
        <v>437269</v>
      </c>
      <c r="S22" s="38"/>
      <c r="T22" s="30">
        <v>11404725.449999999</v>
      </c>
    </row>
    <row r="23" spans="1:20" x14ac:dyDescent="0.25">
      <c r="A23" s="5">
        <v>43101</v>
      </c>
      <c r="C23" s="30">
        <v>87537615.400000006</v>
      </c>
      <c r="D23" s="30">
        <v>692578.61</v>
      </c>
      <c r="E23" s="30">
        <v>79466743.289999992</v>
      </c>
      <c r="F23" s="30">
        <v>0</v>
      </c>
      <c r="G23" s="38"/>
      <c r="H23" s="30">
        <v>7378293.5</v>
      </c>
      <c r="I23" s="37">
        <v>1150</v>
      </c>
      <c r="J23" s="30">
        <v>206.96475455820476</v>
      </c>
      <c r="K23" s="38"/>
      <c r="L23" s="37">
        <v>67</v>
      </c>
      <c r="M23" s="30">
        <v>16239238.689999999</v>
      </c>
      <c r="N23" s="30">
        <v>128780</v>
      </c>
      <c r="O23" s="30">
        <v>3370341.2199999997</v>
      </c>
      <c r="P23" s="38"/>
      <c r="Q23" s="35">
        <v>16</v>
      </c>
      <c r="R23" s="32">
        <v>446864</v>
      </c>
      <c r="S23" s="38"/>
      <c r="T23" s="30">
        <v>11195498.719999999</v>
      </c>
    </row>
    <row r="24" spans="1:20" x14ac:dyDescent="0.25">
      <c r="A24" s="5">
        <v>43132</v>
      </c>
      <c r="C24" s="30">
        <v>94585566.650000006</v>
      </c>
      <c r="D24" s="30">
        <v>646022.37999999989</v>
      </c>
      <c r="E24" s="30">
        <v>85807514.88000001</v>
      </c>
      <c r="F24" s="30">
        <v>0</v>
      </c>
      <c r="G24" s="38"/>
      <c r="H24" s="30">
        <v>8132029.3900000006</v>
      </c>
      <c r="I24" s="37">
        <v>1150</v>
      </c>
      <c r="J24" s="30">
        <v>252.54749658385094</v>
      </c>
      <c r="K24" s="38"/>
      <c r="L24" s="37">
        <v>67</v>
      </c>
      <c r="M24" s="30">
        <v>15395827.699999999</v>
      </c>
      <c r="N24" s="30">
        <v>107510</v>
      </c>
      <c r="O24" s="30">
        <v>3793276.1500000004</v>
      </c>
      <c r="P24" s="38"/>
      <c r="Q24" s="35">
        <v>16</v>
      </c>
      <c r="R24" s="32">
        <v>470366</v>
      </c>
      <c r="S24" s="38"/>
      <c r="T24" s="30">
        <v>12395671.540000001</v>
      </c>
    </row>
    <row r="25" spans="1:20" x14ac:dyDescent="0.25">
      <c r="A25" s="5">
        <v>43160</v>
      </c>
      <c r="C25" s="30">
        <v>113423941.01000001</v>
      </c>
      <c r="D25" s="30">
        <v>855052.95000000007</v>
      </c>
      <c r="E25" s="30">
        <v>103166248.07999998</v>
      </c>
      <c r="F25" s="30">
        <v>0</v>
      </c>
      <c r="G25" s="38"/>
      <c r="H25" s="30">
        <v>9402639.9799999986</v>
      </c>
      <c r="I25" s="37">
        <v>1150</v>
      </c>
      <c r="J25" s="30">
        <v>263.74866704067318</v>
      </c>
      <c r="K25" s="38"/>
      <c r="L25" s="37">
        <v>67</v>
      </c>
      <c r="M25" s="30">
        <v>20495783.619999997</v>
      </c>
      <c r="N25" s="30">
        <v>190305</v>
      </c>
      <c r="O25" s="30">
        <v>3850551.17</v>
      </c>
      <c r="P25" s="38"/>
      <c r="Q25" s="35">
        <v>16</v>
      </c>
      <c r="R25" s="32">
        <v>536412</v>
      </c>
      <c r="S25" s="38"/>
      <c r="T25" s="30">
        <v>13789603.149999999</v>
      </c>
    </row>
    <row r="26" spans="1:20" ht="15.75" thickBot="1" x14ac:dyDescent="0.3">
      <c r="A26" s="5" t="s">
        <v>28</v>
      </c>
      <c r="C26" s="39">
        <v>1107004104.2509999</v>
      </c>
      <c r="D26" s="39">
        <v>13108358.009999998</v>
      </c>
      <c r="E26" s="39">
        <v>1002899723.99</v>
      </c>
      <c r="F26" s="39">
        <v>0</v>
      </c>
      <c r="G26" s="39"/>
      <c r="H26" s="39">
        <v>90996022.251000002</v>
      </c>
      <c r="I26" s="89">
        <v>1150</v>
      </c>
      <c r="J26" s="41">
        <v>217</v>
      </c>
      <c r="K26" s="30"/>
      <c r="L26" s="43">
        <v>67</v>
      </c>
      <c r="M26" s="39">
        <v>211187339.47999999</v>
      </c>
      <c r="N26" s="39">
        <v>1764660</v>
      </c>
      <c r="O26" s="39">
        <v>44258835.07</v>
      </c>
      <c r="P26" s="44"/>
      <c r="Q26" s="45">
        <v>16</v>
      </c>
      <c r="R26" s="39">
        <v>5682439.25</v>
      </c>
      <c r="S26" s="44"/>
      <c r="T26" s="39">
        <v>140937296.57100001</v>
      </c>
    </row>
    <row r="27" spans="1:20" ht="10.5" customHeight="1" thickTop="1" x14ac:dyDescent="0.25">
      <c r="C27" s="46"/>
      <c r="D27" s="46"/>
      <c r="E27" s="46"/>
      <c r="F27" s="46"/>
      <c r="G27" s="46"/>
      <c r="H27" s="46"/>
      <c r="L27" s="47"/>
      <c r="M27" s="46"/>
      <c r="N27" s="46"/>
      <c r="O27" s="46"/>
      <c r="P27" s="46"/>
      <c r="Q27" s="47"/>
      <c r="R27" s="46"/>
    </row>
    <row r="28" spans="1:20" s="51" customFormat="1" x14ac:dyDescent="0.25">
      <c r="A28" s="48"/>
      <c r="B28" s="48"/>
      <c r="C28" s="49"/>
      <c r="D28" s="50">
        <v>1.18412912469454E-2</v>
      </c>
      <c r="E28" s="50">
        <v>0.90595845140841913</v>
      </c>
      <c r="F28" s="50">
        <v>0</v>
      </c>
      <c r="G28" s="50"/>
      <c r="H28" s="49">
        <v>8.2200257344635597E-2</v>
      </c>
      <c r="L28" s="49"/>
      <c r="M28" s="49"/>
      <c r="N28" s="49"/>
      <c r="O28" s="49">
        <v>0.20957144106733458</v>
      </c>
      <c r="P28" s="49"/>
      <c r="Q28" s="49"/>
      <c r="R28" s="49"/>
    </row>
    <row r="29" spans="1:20" s="51" customFormat="1" x14ac:dyDescent="0.25">
      <c r="A29" s="48"/>
      <c r="B29" s="48"/>
      <c r="C29" s="49"/>
      <c r="D29" s="49"/>
      <c r="E29" s="49"/>
      <c r="F29" s="49"/>
      <c r="G29" s="49"/>
      <c r="H29" s="49"/>
      <c r="L29" s="49"/>
      <c r="M29" s="49"/>
      <c r="N29" s="49"/>
      <c r="O29" s="49"/>
      <c r="P29" s="49"/>
      <c r="Q29" s="49"/>
      <c r="R29" s="49"/>
    </row>
    <row r="30" spans="1:20" s="51" customFormat="1" x14ac:dyDescent="0.25">
      <c r="A30" s="121" t="s">
        <v>29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3"/>
    </row>
    <row r="31" spans="1:20" s="54" customFormat="1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</row>
    <row r="32" spans="1:20" s="54" customFormat="1" x14ac:dyDescent="0.25">
      <c r="A32" s="53"/>
      <c r="B32" s="53"/>
      <c r="C32" s="53"/>
      <c r="D32" s="53"/>
      <c r="E32" s="53"/>
      <c r="F32" s="53"/>
      <c r="G32" s="53"/>
      <c r="H32" s="124" t="s">
        <v>30</v>
      </c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6"/>
    </row>
    <row r="33" spans="1:21" s="55" customFormat="1" ht="12" x14ac:dyDescent="0.2">
      <c r="F33" s="55" t="s">
        <v>31</v>
      </c>
      <c r="H33" s="56" t="s">
        <v>32</v>
      </c>
      <c r="I33" s="56" t="s">
        <v>33</v>
      </c>
      <c r="J33" s="56" t="s">
        <v>34</v>
      </c>
      <c r="K33" s="57"/>
      <c r="L33" s="57"/>
      <c r="M33" s="58"/>
      <c r="N33" s="58"/>
      <c r="O33" s="58"/>
      <c r="P33" s="58"/>
      <c r="Q33" s="58"/>
      <c r="R33" s="59"/>
    </row>
    <row r="34" spans="1:21" s="55" customFormat="1" ht="12.75" customHeight="1" x14ac:dyDescent="0.2">
      <c r="D34" s="18" t="s">
        <v>35</v>
      </c>
      <c r="E34" s="55" t="s">
        <v>11</v>
      </c>
      <c r="F34" s="55" t="s">
        <v>37</v>
      </c>
      <c r="H34" s="56" t="s">
        <v>38</v>
      </c>
      <c r="I34" s="56" t="s">
        <v>39</v>
      </c>
      <c r="J34" s="56" t="s">
        <v>40</v>
      </c>
      <c r="K34" s="57"/>
      <c r="L34" s="116" t="s">
        <v>41</v>
      </c>
      <c r="M34" s="116"/>
      <c r="N34" s="116"/>
      <c r="O34" s="116"/>
      <c r="P34" s="116"/>
      <c r="Q34" s="116"/>
      <c r="R34" s="116"/>
      <c r="S34" s="116"/>
      <c r="T34" s="116"/>
    </row>
    <row r="35" spans="1:21" s="55" customFormat="1" ht="12" x14ac:dyDescent="0.2">
      <c r="C35" s="27" t="s">
        <v>27</v>
      </c>
      <c r="D35" s="27" t="s">
        <v>42</v>
      </c>
      <c r="E35" s="61" t="s">
        <v>43</v>
      </c>
      <c r="F35" s="61" t="s">
        <v>45</v>
      </c>
      <c r="G35" s="59"/>
      <c r="H35" s="62" t="s">
        <v>46</v>
      </c>
      <c r="I35" s="62" t="s">
        <v>40</v>
      </c>
      <c r="J35" s="62" t="s">
        <v>47</v>
      </c>
      <c r="K35" s="63"/>
      <c r="L35" s="63" t="s">
        <v>48</v>
      </c>
      <c r="M35" s="63" t="s">
        <v>49</v>
      </c>
      <c r="N35" s="63" t="s">
        <v>50</v>
      </c>
      <c r="O35" s="63" t="s">
        <v>51</v>
      </c>
      <c r="P35" s="64"/>
      <c r="Q35" s="63" t="s">
        <v>52</v>
      </c>
      <c r="R35" s="65" t="s">
        <v>53</v>
      </c>
      <c r="S35" s="65"/>
      <c r="T35" s="65" t="s">
        <v>54</v>
      </c>
    </row>
    <row r="36" spans="1:21" s="51" customFormat="1" x14ac:dyDescent="0.25">
      <c r="A36" s="5">
        <v>42826</v>
      </c>
      <c r="B36" s="48"/>
      <c r="C36" s="44">
        <v>11205597.019999996</v>
      </c>
      <c r="D36" s="44">
        <v>7673511.4984999988</v>
      </c>
      <c r="E36" s="44">
        <v>3532085.5214999989</v>
      </c>
      <c r="F36" s="30">
        <v>-12871.25</v>
      </c>
      <c r="H36" s="44">
        <v>2815371.4171999991</v>
      </c>
      <c r="I36" s="44">
        <v>175960.71357499994</v>
      </c>
      <c r="J36" s="44">
        <v>175960.71357499994</v>
      </c>
      <c r="K36" s="30"/>
      <c r="L36" s="44">
        <v>120973.27640923954</v>
      </c>
      <c r="M36" s="44">
        <v>22083.098881939357</v>
      </c>
      <c r="N36" s="44">
        <v>19970.66760461927</v>
      </c>
      <c r="O36" s="44">
        <v>63400.377656600991</v>
      </c>
      <c r="P36" s="66"/>
      <c r="Q36" s="44">
        <v>87331.45623464472</v>
      </c>
      <c r="R36" s="44">
        <v>13023.345613884712</v>
      </c>
      <c r="S36" s="30"/>
      <c r="T36" s="44">
        <v>25139.204749071301</v>
      </c>
    </row>
    <row r="37" spans="1:21" s="51" customFormat="1" x14ac:dyDescent="0.25">
      <c r="A37" s="5">
        <v>42856</v>
      </c>
      <c r="B37" s="48"/>
      <c r="C37" s="44">
        <v>10889310.059999999</v>
      </c>
      <c r="D37" s="44">
        <v>7455784.6654999992</v>
      </c>
      <c r="E37" s="44">
        <v>3433525.3944999995</v>
      </c>
      <c r="F37" s="30">
        <v>0</v>
      </c>
      <c r="G37" s="37"/>
      <c r="H37" s="44">
        <v>2746820.3155999994</v>
      </c>
      <c r="I37" s="44">
        <v>171676.26972499996</v>
      </c>
      <c r="J37" s="44">
        <v>171676.26972499996</v>
      </c>
      <c r="K37" s="30"/>
      <c r="L37" s="44">
        <v>118027.71430281515</v>
      </c>
      <c r="M37" s="44">
        <v>21545.400464654071</v>
      </c>
      <c r="N37" s="44">
        <v>19484.404493606507</v>
      </c>
      <c r="O37" s="44">
        <v>61856.650351683464</v>
      </c>
      <c r="P37" s="44"/>
      <c r="Q37" s="44">
        <v>85205.03430230479</v>
      </c>
      <c r="R37" s="44">
        <v>12706.241915631923</v>
      </c>
      <c r="S37" s="30"/>
      <c r="T37" s="44">
        <v>24527.093619304029</v>
      </c>
    </row>
    <row r="38" spans="1:21" s="51" customFormat="1" x14ac:dyDescent="0.25">
      <c r="A38" s="5">
        <v>42887</v>
      </c>
      <c r="B38" s="48"/>
      <c r="C38" s="44">
        <v>10016432.819999997</v>
      </c>
      <c r="D38" s="44">
        <v>6807769.7719999989</v>
      </c>
      <c r="E38" s="44">
        <v>3208663.0479999995</v>
      </c>
      <c r="F38" s="30">
        <v>0</v>
      </c>
      <c r="G38" s="37"/>
      <c r="H38" s="44">
        <v>2566930.4383999999</v>
      </c>
      <c r="I38" s="44">
        <v>160433.15239999999</v>
      </c>
      <c r="J38" s="44">
        <v>160433.15239999999</v>
      </c>
      <c r="K38" s="30"/>
      <c r="L38" s="44">
        <v>110298.05287882344</v>
      </c>
      <c r="M38" s="44">
        <v>20134.387366418407</v>
      </c>
      <c r="N38" s="44">
        <v>18208.366482760364</v>
      </c>
      <c r="O38" s="44">
        <v>57805.644476791698</v>
      </c>
      <c r="P38" s="44"/>
      <c r="Q38" s="44">
        <v>79624.937537178266</v>
      </c>
      <c r="R38" s="44">
        <v>11874.10728895277</v>
      </c>
      <c r="S38" s="30"/>
      <c r="T38" s="44">
        <v>22920.808769075036</v>
      </c>
    </row>
    <row r="39" spans="1:21" s="51" customFormat="1" x14ac:dyDescent="0.25">
      <c r="A39" s="5">
        <v>42917</v>
      </c>
      <c r="B39" s="48"/>
      <c r="C39" s="44">
        <v>13297257.421</v>
      </c>
      <c r="D39" s="44">
        <v>9185468.2825500015</v>
      </c>
      <c r="E39" s="44">
        <v>4111789.1384500004</v>
      </c>
      <c r="F39" s="30">
        <v>0</v>
      </c>
      <c r="G39" s="37"/>
      <c r="H39" s="44">
        <v>3289431.3107600007</v>
      </c>
      <c r="I39" s="44">
        <v>205589.45692250005</v>
      </c>
      <c r="J39" s="44">
        <v>205589.45692250005</v>
      </c>
      <c r="K39" s="30"/>
      <c r="L39" s="44">
        <v>141343.08558887674</v>
      </c>
      <c r="M39" s="44">
        <v>25801.511110425614</v>
      </c>
      <c r="N39" s="44">
        <v>23333.382911427205</v>
      </c>
      <c r="O39" s="44">
        <v>74075.905617115583</v>
      </c>
      <c r="P39" s="44"/>
      <c r="Q39" s="44">
        <v>102036.56426909723</v>
      </c>
      <c r="R39" s="44">
        <v>15216.251955760359</v>
      </c>
      <c r="S39" s="30"/>
      <c r="T39" s="44">
        <v>29372.212392297377</v>
      </c>
    </row>
    <row r="40" spans="1:21" s="51" customFormat="1" x14ac:dyDescent="0.25">
      <c r="A40" s="5">
        <v>42948</v>
      </c>
      <c r="B40" s="48"/>
      <c r="C40" s="44">
        <v>11692553.319999998</v>
      </c>
      <c r="D40" s="44">
        <v>7842334.7974999994</v>
      </c>
      <c r="E40" s="44">
        <v>3850218.522499999</v>
      </c>
      <c r="F40" s="30">
        <v>0</v>
      </c>
      <c r="G40" s="37"/>
      <c r="H40" s="44">
        <v>3080174.8179999995</v>
      </c>
      <c r="I40" s="44">
        <v>192510.92612499997</v>
      </c>
      <c r="J40" s="44">
        <v>192510.92612499997</v>
      </c>
      <c r="K40" s="30"/>
      <c r="L40" s="44">
        <v>132351.57442113891</v>
      </c>
      <c r="M40" s="44">
        <v>24160.153315473381</v>
      </c>
      <c r="N40" s="44">
        <v>21849.034581580698</v>
      </c>
      <c r="O40" s="44">
        <v>69363.582196117597</v>
      </c>
      <c r="P40" s="44"/>
      <c r="Q40" s="44">
        <v>95545.529328684206</v>
      </c>
      <c r="R40" s="44">
        <v>14248.273233481077</v>
      </c>
      <c r="S40" s="30"/>
      <c r="T40" s="44">
        <v>27503.705173524071</v>
      </c>
      <c r="U40" s="35"/>
    </row>
    <row r="41" spans="1:21" s="51" customFormat="1" x14ac:dyDescent="0.25">
      <c r="A41" s="5">
        <v>42979</v>
      </c>
      <c r="B41" s="48"/>
      <c r="C41" s="44">
        <v>12048027.83</v>
      </c>
      <c r="D41" s="44">
        <v>8146800.2390000001</v>
      </c>
      <c r="E41" s="44">
        <v>3901227.591</v>
      </c>
      <c r="F41" s="30">
        <v>0</v>
      </c>
      <c r="G41" s="37"/>
      <c r="H41" s="44">
        <v>3120982.0728000002</v>
      </c>
      <c r="I41" s="44">
        <v>195061.37955000001</v>
      </c>
      <c r="J41" s="44">
        <v>195061.37955000001</v>
      </c>
      <c r="K41" s="30"/>
      <c r="L41" s="44">
        <v>134105.01529372274</v>
      </c>
      <c r="M41" s="44">
        <v>24480.235645408073</v>
      </c>
      <c r="N41" s="44">
        <v>22138.498386068106</v>
      </c>
      <c r="O41" s="44">
        <v>70282.53567758124</v>
      </c>
      <c r="P41" s="44"/>
      <c r="Q41" s="44">
        <v>96811.35058581928</v>
      </c>
      <c r="R41" s="44">
        <v>14437.039440158993</v>
      </c>
      <c r="S41" s="30"/>
      <c r="T41" s="44">
        <v>27868.084071241592</v>
      </c>
    </row>
    <row r="42" spans="1:21" s="51" customFormat="1" x14ac:dyDescent="0.25">
      <c r="A42" s="5">
        <v>43009</v>
      </c>
      <c r="B42" s="48"/>
      <c r="C42" s="44">
        <v>11112726.010000002</v>
      </c>
      <c r="D42" s="44">
        <v>7300466.6975000007</v>
      </c>
      <c r="E42" s="44">
        <v>3812259.3125000005</v>
      </c>
      <c r="F42" s="30">
        <v>0</v>
      </c>
      <c r="G42" s="37"/>
      <c r="H42" s="44">
        <v>3049807.4500000007</v>
      </c>
      <c r="I42" s="44">
        <v>190612.96562500004</v>
      </c>
      <c r="J42" s="44">
        <v>190612.96562500004</v>
      </c>
      <c r="K42" s="30"/>
      <c r="L42" s="44">
        <v>131046.72349438675</v>
      </c>
      <c r="M42" s="44">
        <v>23921.958956380557</v>
      </c>
      <c r="N42" s="44">
        <v>21633.625485413104</v>
      </c>
      <c r="O42" s="44">
        <v>68679.728340148664</v>
      </c>
      <c r="P42" s="44"/>
      <c r="Q42" s="44">
        <v>94603.548297957255</v>
      </c>
      <c r="R42" s="44">
        <v>14107.799857061944</v>
      </c>
      <c r="S42" s="30"/>
      <c r="T42" s="44">
        <v>27232.546818651801</v>
      </c>
    </row>
    <row r="43" spans="1:21" s="51" customFormat="1" x14ac:dyDescent="0.25">
      <c r="A43" s="5">
        <v>43040</v>
      </c>
      <c r="B43" s="48"/>
      <c r="C43" s="44">
        <v>11889893.230000002</v>
      </c>
      <c r="D43" s="44">
        <v>7983460.0240000021</v>
      </c>
      <c r="E43" s="44">
        <v>3906433.2060000012</v>
      </c>
      <c r="F43" s="30">
        <v>0</v>
      </c>
      <c r="G43" s="37"/>
      <c r="H43" s="44">
        <v>3125146.5648000007</v>
      </c>
      <c r="I43" s="44">
        <v>195321.66030000005</v>
      </c>
      <c r="J43" s="44">
        <v>195321.66030000005</v>
      </c>
      <c r="K43" s="30"/>
      <c r="L43" s="44">
        <v>134283.95873214168</v>
      </c>
      <c r="M43" s="44">
        <v>24512.900922915407</v>
      </c>
      <c r="N43" s="44">
        <v>22168.038959281999</v>
      </c>
      <c r="O43" s="44">
        <v>70376.317394599071</v>
      </c>
      <c r="P43" s="44"/>
      <c r="Q43" s="44">
        <v>96940.531108366224</v>
      </c>
      <c r="R43" s="44">
        <v>14456.303548010241</v>
      </c>
      <c r="S43" s="30"/>
      <c r="T43" s="44">
        <v>27905.269934685501</v>
      </c>
    </row>
    <row r="44" spans="1:21" s="51" customFormat="1" x14ac:dyDescent="0.25">
      <c r="A44" s="5">
        <v>43070</v>
      </c>
      <c r="B44" s="48"/>
      <c r="C44" s="44">
        <v>11404725.449999999</v>
      </c>
      <c r="D44" s="44">
        <v>7676204.085</v>
      </c>
      <c r="E44" s="44">
        <v>3728521.3650000002</v>
      </c>
      <c r="F44" s="30">
        <v>0</v>
      </c>
      <c r="G44" s="37"/>
      <c r="H44" s="44">
        <v>2982817.0920000006</v>
      </c>
      <c r="I44" s="44">
        <v>186426.06825000004</v>
      </c>
      <c r="J44" s="44">
        <v>186426.06825000004</v>
      </c>
      <c r="K44" s="30"/>
      <c r="L44" s="44">
        <v>128168.22474797704</v>
      </c>
      <c r="M44" s="44">
        <v>23396.502637966343</v>
      </c>
      <c r="N44" s="44">
        <v>21158.433415138064</v>
      </c>
      <c r="O44" s="44">
        <v>67171.147990641912</v>
      </c>
      <c r="P44" s="44"/>
      <c r="Q44" s="44">
        <v>92525.539875310627</v>
      </c>
      <c r="R44" s="44">
        <v>13797.915846837977</v>
      </c>
      <c r="S44" s="30"/>
      <c r="T44" s="44">
        <v>26634.371986128113</v>
      </c>
    </row>
    <row r="45" spans="1:21" s="51" customFormat="1" x14ac:dyDescent="0.25">
      <c r="A45" s="5">
        <v>43101</v>
      </c>
      <c r="B45" s="48"/>
      <c r="C45" s="44">
        <v>11195498.719999999</v>
      </c>
      <c r="D45" s="44">
        <v>7493546.1229999997</v>
      </c>
      <c r="E45" s="44">
        <v>3701952.5970000001</v>
      </c>
      <c r="F45" s="30">
        <v>0</v>
      </c>
      <c r="G45" s="37"/>
      <c r="H45" s="44">
        <v>2961562.0776</v>
      </c>
      <c r="I45" s="44">
        <v>185097.62985</v>
      </c>
      <c r="J45" s="44">
        <v>185097.62985</v>
      </c>
      <c r="K45" s="30"/>
      <c r="L45" s="44">
        <v>127254.92119009305</v>
      </c>
      <c r="M45" s="44">
        <v>23229.783397348678</v>
      </c>
      <c r="N45" s="44">
        <v>21007.662250480869</v>
      </c>
      <c r="O45" s="44">
        <v>66692.498554967533</v>
      </c>
      <c r="P45" s="44"/>
      <c r="Q45" s="44">
        <v>91866.219634826513</v>
      </c>
      <c r="R45" s="44">
        <v>13699.594397359528</v>
      </c>
      <c r="S45" s="30"/>
      <c r="T45" s="44">
        <v>26444.580274923806</v>
      </c>
    </row>
    <row r="46" spans="1:21" s="51" customFormat="1" x14ac:dyDescent="0.25">
      <c r="A46" s="5">
        <v>43132</v>
      </c>
      <c r="B46" s="48"/>
      <c r="C46" s="44">
        <v>12395671.540000001</v>
      </c>
      <c r="D46" s="44">
        <v>8309894.0995000014</v>
      </c>
      <c r="E46" s="44">
        <v>4085777.4405000005</v>
      </c>
      <c r="F46" s="30">
        <v>21275.759999999998</v>
      </c>
      <c r="G46" s="37"/>
      <c r="H46" s="44">
        <v>3285642.5604000003</v>
      </c>
      <c r="I46" s="44">
        <v>205352.66002500002</v>
      </c>
      <c r="J46" s="44">
        <v>205352.66002500002</v>
      </c>
      <c r="K46" s="30"/>
      <c r="L46" s="44">
        <v>141180.28733719816</v>
      </c>
      <c r="M46" s="44">
        <v>25771.793060321204</v>
      </c>
      <c r="N46" s="44">
        <v>23306.507638909268</v>
      </c>
      <c r="O46" s="44">
        <v>73990.585363381702</v>
      </c>
      <c r="P46" s="44"/>
      <c r="Q46" s="44">
        <v>101919.03907003223</v>
      </c>
      <c r="R46" s="44">
        <v>15198.725953655781</v>
      </c>
      <c r="S46" s="30"/>
      <c r="T46" s="44">
        <v>29338.38162650169</v>
      </c>
    </row>
    <row r="47" spans="1:21" s="51" customFormat="1" x14ac:dyDescent="0.25">
      <c r="A47" s="5">
        <v>43160</v>
      </c>
      <c r="B47" s="48"/>
      <c r="C47" s="44">
        <v>13789603.149999999</v>
      </c>
      <c r="D47" s="44">
        <v>9119718.8420000002</v>
      </c>
      <c r="E47" s="44">
        <v>4669884.3079999993</v>
      </c>
      <c r="F47" s="30">
        <v>28035.93</v>
      </c>
      <c r="G47" s="37"/>
      <c r="H47" s="44">
        <v>3758336.1903999997</v>
      </c>
      <c r="I47" s="44">
        <v>234896.01189999998</v>
      </c>
      <c r="J47" s="44">
        <v>234896.01189999998</v>
      </c>
      <c r="K47" s="30"/>
      <c r="L47" s="44">
        <v>161491.38974078366</v>
      </c>
      <c r="M47" s="44">
        <v>29479.488644776062</v>
      </c>
      <c r="N47" s="44">
        <v>26659.531437431506</v>
      </c>
      <c r="O47" s="44">
        <v>84635.345935567559</v>
      </c>
      <c r="P47" s="44"/>
      <c r="Q47" s="44">
        <v>116581.76627133197</v>
      </c>
      <c r="R47" s="44">
        <v>17385.312233307002</v>
      </c>
      <c r="S47" s="30"/>
      <c r="T47" s="44">
        <v>33559.189536802209</v>
      </c>
    </row>
    <row r="48" spans="1:21" s="51" customFormat="1" ht="15.75" thickBot="1" x14ac:dyDescent="0.3">
      <c r="A48" s="5" t="s">
        <v>28</v>
      </c>
      <c r="B48" s="48"/>
      <c r="C48" s="69">
        <v>140937296.57100001</v>
      </c>
      <c r="D48" s="69">
        <v>94994959.126049995</v>
      </c>
      <c r="E48" s="69">
        <v>45942337.444949999</v>
      </c>
      <c r="F48" s="39">
        <v>36440.44</v>
      </c>
      <c r="G48" s="69"/>
      <c r="H48" s="69">
        <v>36783022.307959996</v>
      </c>
      <c r="I48" s="69">
        <v>2298938.8942474998</v>
      </c>
      <c r="J48" s="69">
        <v>2298938.8942474998</v>
      </c>
      <c r="K48" s="69"/>
      <c r="L48" s="69">
        <v>1580524.2241371968</v>
      </c>
      <c r="M48" s="69">
        <v>288517.21440402715</v>
      </c>
      <c r="N48" s="69">
        <v>260918.15364671702</v>
      </c>
      <c r="O48" s="69">
        <v>828330.31955519703</v>
      </c>
      <c r="P48" s="69"/>
      <c r="Q48" s="69">
        <v>1140991.5165155532</v>
      </c>
      <c r="R48" s="69">
        <v>170150.9112841023</v>
      </c>
      <c r="S48" s="69"/>
      <c r="T48" s="69">
        <v>328445.44895220653</v>
      </c>
      <c r="U48" s="90"/>
    </row>
    <row r="49" spans="1:21" s="51" customFormat="1" ht="15.75" thickTop="1" x14ac:dyDescent="0.25">
      <c r="A49" s="48"/>
      <c r="B49" s="48"/>
      <c r="C49" s="46"/>
      <c r="D49" s="49"/>
      <c r="E49" s="49"/>
      <c r="F49" s="49"/>
      <c r="G49" s="49"/>
      <c r="H49" s="49"/>
      <c r="I49" s="49"/>
      <c r="L49" s="49"/>
      <c r="M49" s="49"/>
      <c r="N49" s="49"/>
      <c r="O49" s="49"/>
      <c r="Q49" s="49"/>
    </row>
    <row r="50" spans="1:21" s="51" customFormat="1" x14ac:dyDescent="0.25">
      <c r="A50" s="48"/>
      <c r="B50" s="48"/>
      <c r="C50" s="49"/>
      <c r="D50" s="49">
        <v>0.67402285581797272</v>
      </c>
      <c r="E50" s="49">
        <v>0.32597714418202722</v>
      </c>
      <c r="F50" s="49"/>
      <c r="G50" s="49"/>
      <c r="H50" s="49">
        <v>0.79999999999999993</v>
      </c>
      <c r="I50" s="49">
        <v>4.9999999999999996E-2</v>
      </c>
      <c r="J50" s="49">
        <v>4.9999999999999996E-2</v>
      </c>
      <c r="K50" s="49">
        <v>0</v>
      </c>
      <c r="L50" s="49">
        <v>3.4375081218819041E-2</v>
      </c>
      <c r="M50" s="49">
        <v>6.2750083337570839E-3</v>
      </c>
      <c r="N50" s="49">
        <v>5.6747518235390516E-3</v>
      </c>
      <c r="O50" s="49">
        <v>1.8015492313168468E-2</v>
      </c>
      <c r="P50" s="49">
        <v>0</v>
      </c>
      <c r="Q50" s="49">
        <v>2.4815612093270281E-2</v>
      </c>
      <c r="R50" s="49">
        <v>3.7006401455441239E-3</v>
      </c>
      <c r="S50" s="49"/>
      <c r="T50" s="49">
        <v>7.1434140719019617E-3</v>
      </c>
    </row>
    <row r="51" spans="1:21" s="51" customFormat="1" x14ac:dyDescent="0.25">
      <c r="A51" s="48"/>
      <c r="B51" s="48"/>
      <c r="C51" s="49"/>
      <c r="D51" s="49"/>
      <c r="F51" s="46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U51" s="90"/>
    </row>
    <row r="52" spans="1:21" s="51" customFormat="1" x14ac:dyDescent="0.25">
      <c r="A52" s="71" t="s">
        <v>55</v>
      </c>
      <c r="B52" s="48"/>
      <c r="C52" s="49"/>
      <c r="D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U52" s="90"/>
    </row>
    <row r="53" spans="1:21" s="54" customFormat="1" x14ac:dyDescent="0.25">
      <c r="A53" s="72" t="s">
        <v>56</v>
      </c>
      <c r="B53" s="73"/>
      <c r="C53" s="74"/>
      <c r="D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U53" s="90"/>
    </row>
    <row r="54" spans="1:21" s="54" customFormat="1" x14ac:dyDescent="0.25">
      <c r="A54" s="72" t="s">
        <v>57</v>
      </c>
      <c r="B54" s="73"/>
      <c r="C54" s="74"/>
      <c r="D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</row>
    <row r="55" spans="1:21" s="54" customFormat="1" x14ac:dyDescent="0.25">
      <c r="A55" s="72"/>
      <c r="B55" s="73"/>
      <c r="C55" s="74"/>
      <c r="D55" s="74"/>
      <c r="H55" s="75"/>
      <c r="I55" s="75"/>
      <c r="J55" s="75"/>
      <c r="K55" s="74"/>
      <c r="L55" s="76"/>
      <c r="M55" s="76"/>
      <c r="N55" s="76"/>
      <c r="O55" s="76"/>
      <c r="P55" s="74"/>
      <c r="Q55" s="76"/>
      <c r="R55" s="76"/>
      <c r="S55" s="77"/>
      <c r="T55" s="77"/>
    </row>
    <row r="56" spans="1:21" s="54" customFormat="1" ht="15" customHeight="1" x14ac:dyDescent="0.25">
      <c r="A56" s="72" t="s">
        <v>58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</row>
    <row r="57" spans="1:21" s="54" customFormat="1" x14ac:dyDescent="0.25">
      <c r="B57" s="73"/>
      <c r="C57" s="74"/>
      <c r="D57" s="79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1:21" ht="15" customHeight="1" x14ac:dyDescent="0.25">
      <c r="A58" s="80" t="s">
        <v>65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</row>
    <row r="59" spans="1:21" x14ac:dyDescent="0.25">
      <c r="A59" s="80" t="s">
        <v>66</v>
      </c>
    </row>
    <row r="61" spans="1:21" x14ac:dyDescent="0.25">
      <c r="A61" s="80" t="s">
        <v>61</v>
      </c>
    </row>
    <row r="62" spans="1:21" x14ac:dyDescent="0.25">
      <c r="A62" s="80"/>
      <c r="B62" s="91"/>
      <c r="C62" s="92"/>
      <c r="D62" s="92"/>
      <c r="E62" s="92"/>
      <c r="F62" s="92"/>
      <c r="G62" s="92"/>
      <c r="H62" s="92"/>
      <c r="I62" s="93"/>
      <c r="J62" s="92"/>
      <c r="K62" s="92"/>
      <c r="L62" s="92"/>
      <c r="M62" s="92"/>
      <c r="N62" s="92"/>
      <c r="O62" s="92"/>
    </row>
    <row r="63" spans="1:21" x14ac:dyDescent="0.25">
      <c r="A63" s="80"/>
    </row>
  </sheetData>
  <sheetProtection algorithmName="SHA-512" hashValue="rD/cztZ+jK0Gg7YpdMQPr8Y/9j8yTQLTYohs2jEiVPARww5Fb5XEj+A1a5pofN4rQCu3d5R7BQBKUQyDd1Xk+A==" saltValue="JjEta+2gGesNP/VIQd9SSg==" spinCount="100000" sheet="1" objects="1" scenarios="1"/>
  <mergeCells count="12">
    <mergeCell ref="L34:T34"/>
    <mergeCell ref="A1:T1"/>
    <mergeCell ref="A2:T2"/>
    <mergeCell ref="A3:T3"/>
    <mergeCell ref="A4:T4"/>
    <mergeCell ref="A5:T5"/>
    <mergeCell ref="A8:T8"/>
    <mergeCell ref="C10:J10"/>
    <mergeCell ref="L10:O10"/>
    <mergeCell ref="Q10:R10"/>
    <mergeCell ref="A30:T30"/>
    <mergeCell ref="H32:T32"/>
  </mergeCells>
  <hyperlinks>
    <hyperlink ref="A4" r:id="rId1" xr:uid="{00000000-0004-0000-0200-000000000000}"/>
  </hyperlinks>
  <printOptions horizontalCentered="1" verticalCentered="1"/>
  <pageMargins left="0" right="0" top="0.25" bottom="0.25" header="0.3" footer="0.3"/>
  <pageSetup scale="64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7"/>
  <sheetViews>
    <sheetView topLeftCell="A16" workbookViewId="0">
      <selection activeCell="D47" sqref="D47"/>
    </sheetView>
  </sheetViews>
  <sheetFormatPr defaultRowHeight="15" x14ac:dyDescent="0.25"/>
  <cols>
    <col min="1" max="1" width="9.28515625" style="5" customWidth="1"/>
    <col min="2" max="2" width="1.7109375" style="5" customWidth="1"/>
    <col min="3" max="3" width="14.5703125" style="32" customWidth="1"/>
    <col min="4" max="5" width="13.5703125" style="32" customWidth="1"/>
    <col min="6" max="6" width="12.5703125" style="32" customWidth="1"/>
    <col min="7" max="7" width="15" style="32" customWidth="1"/>
    <col min="8" max="8" width="11.7109375" style="35" customWidth="1"/>
    <col min="9" max="9" width="11.7109375" style="32" customWidth="1"/>
    <col min="10" max="10" width="1.140625" style="32" customWidth="1"/>
    <col min="11" max="11" width="14" style="32" customWidth="1"/>
    <col min="12" max="12" width="12.7109375" style="32" customWidth="1"/>
    <col min="13" max="13" width="11.5703125" style="32" customWidth="1"/>
    <col min="14" max="14" width="12.42578125" style="32" customWidth="1"/>
    <col min="15" max="15" width="1.5703125" style="32" customWidth="1"/>
    <col min="16" max="16" width="14" style="32" customWidth="1"/>
    <col min="17" max="17" width="12.140625" style="32" customWidth="1"/>
    <col min="18" max="18" width="1.7109375" style="36" customWidth="1"/>
    <col min="19" max="19" width="14.42578125" style="36" customWidth="1"/>
    <col min="20" max="20" width="14" style="36" customWidth="1"/>
    <col min="21" max="256" width="8.85546875" style="36"/>
    <col min="257" max="257" width="9.28515625" style="36" customWidth="1"/>
    <col min="258" max="258" width="1.7109375" style="36" customWidth="1"/>
    <col min="259" max="262" width="12" style="36" customWidth="1"/>
    <col min="263" max="263" width="11.85546875" style="36" customWidth="1"/>
    <col min="264" max="264" width="10.7109375" style="36" customWidth="1"/>
    <col min="265" max="265" width="10.5703125" style="36" customWidth="1"/>
    <col min="266" max="266" width="1.140625" style="36" customWidth="1"/>
    <col min="267" max="267" width="11.28515625" style="36" customWidth="1"/>
    <col min="268" max="268" width="12.7109375" style="36" customWidth="1"/>
    <col min="269" max="269" width="11.5703125" style="36" customWidth="1"/>
    <col min="270" max="270" width="12.42578125" style="36" customWidth="1"/>
    <col min="271" max="271" width="1.5703125" style="36" customWidth="1"/>
    <col min="272" max="272" width="11.42578125" style="36" customWidth="1"/>
    <col min="273" max="273" width="12.140625" style="36" customWidth="1"/>
    <col min="274" max="274" width="1.7109375" style="36" customWidth="1"/>
    <col min="275" max="275" width="13.5703125" style="36" customWidth="1"/>
    <col min="276" max="512" width="8.85546875" style="36"/>
    <col min="513" max="513" width="9.28515625" style="36" customWidth="1"/>
    <col min="514" max="514" width="1.7109375" style="36" customWidth="1"/>
    <col min="515" max="518" width="12" style="36" customWidth="1"/>
    <col min="519" max="519" width="11.85546875" style="36" customWidth="1"/>
    <col min="520" max="520" width="10.7109375" style="36" customWidth="1"/>
    <col min="521" max="521" width="10.5703125" style="36" customWidth="1"/>
    <col min="522" max="522" width="1.140625" style="36" customWidth="1"/>
    <col min="523" max="523" width="11.28515625" style="36" customWidth="1"/>
    <col min="524" max="524" width="12.7109375" style="36" customWidth="1"/>
    <col min="525" max="525" width="11.5703125" style="36" customWidth="1"/>
    <col min="526" max="526" width="12.42578125" style="36" customWidth="1"/>
    <col min="527" max="527" width="1.5703125" style="36" customWidth="1"/>
    <col min="528" max="528" width="11.42578125" style="36" customWidth="1"/>
    <col min="529" max="529" width="12.140625" style="36" customWidth="1"/>
    <col min="530" max="530" width="1.7109375" style="36" customWidth="1"/>
    <col min="531" max="531" width="13.5703125" style="36" customWidth="1"/>
    <col min="532" max="768" width="8.85546875" style="36"/>
    <col min="769" max="769" width="9.28515625" style="36" customWidth="1"/>
    <col min="770" max="770" width="1.7109375" style="36" customWidth="1"/>
    <col min="771" max="774" width="12" style="36" customWidth="1"/>
    <col min="775" max="775" width="11.85546875" style="36" customWidth="1"/>
    <col min="776" max="776" width="10.7109375" style="36" customWidth="1"/>
    <col min="777" max="777" width="10.5703125" style="36" customWidth="1"/>
    <col min="778" max="778" width="1.140625" style="36" customWidth="1"/>
    <col min="779" max="779" width="11.28515625" style="36" customWidth="1"/>
    <col min="780" max="780" width="12.7109375" style="36" customWidth="1"/>
    <col min="781" max="781" width="11.5703125" style="36" customWidth="1"/>
    <col min="782" max="782" width="12.42578125" style="36" customWidth="1"/>
    <col min="783" max="783" width="1.5703125" style="36" customWidth="1"/>
    <col min="784" max="784" width="11.42578125" style="36" customWidth="1"/>
    <col min="785" max="785" width="12.140625" style="36" customWidth="1"/>
    <col min="786" max="786" width="1.7109375" style="36" customWidth="1"/>
    <col min="787" max="787" width="13.5703125" style="36" customWidth="1"/>
    <col min="788" max="1024" width="8.85546875" style="36"/>
    <col min="1025" max="1025" width="9.28515625" style="36" customWidth="1"/>
    <col min="1026" max="1026" width="1.7109375" style="36" customWidth="1"/>
    <col min="1027" max="1030" width="12" style="36" customWidth="1"/>
    <col min="1031" max="1031" width="11.85546875" style="36" customWidth="1"/>
    <col min="1032" max="1032" width="10.7109375" style="36" customWidth="1"/>
    <col min="1033" max="1033" width="10.5703125" style="36" customWidth="1"/>
    <col min="1034" max="1034" width="1.140625" style="36" customWidth="1"/>
    <col min="1035" max="1035" width="11.28515625" style="36" customWidth="1"/>
    <col min="1036" max="1036" width="12.7109375" style="36" customWidth="1"/>
    <col min="1037" max="1037" width="11.5703125" style="36" customWidth="1"/>
    <col min="1038" max="1038" width="12.42578125" style="36" customWidth="1"/>
    <col min="1039" max="1039" width="1.5703125" style="36" customWidth="1"/>
    <col min="1040" max="1040" width="11.42578125" style="36" customWidth="1"/>
    <col min="1041" max="1041" width="12.140625" style="36" customWidth="1"/>
    <col min="1042" max="1042" width="1.7109375" style="36" customWidth="1"/>
    <col min="1043" max="1043" width="13.5703125" style="36" customWidth="1"/>
    <col min="1044" max="1280" width="8.85546875" style="36"/>
    <col min="1281" max="1281" width="9.28515625" style="36" customWidth="1"/>
    <col min="1282" max="1282" width="1.7109375" style="36" customWidth="1"/>
    <col min="1283" max="1286" width="12" style="36" customWidth="1"/>
    <col min="1287" max="1287" width="11.85546875" style="36" customWidth="1"/>
    <col min="1288" max="1288" width="10.7109375" style="36" customWidth="1"/>
    <col min="1289" max="1289" width="10.5703125" style="36" customWidth="1"/>
    <col min="1290" max="1290" width="1.140625" style="36" customWidth="1"/>
    <col min="1291" max="1291" width="11.28515625" style="36" customWidth="1"/>
    <col min="1292" max="1292" width="12.7109375" style="36" customWidth="1"/>
    <col min="1293" max="1293" width="11.5703125" style="36" customWidth="1"/>
    <col min="1294" max="1294" width="12.42578125" style="36" customWidth="1"/>
    <col min="1295" max="1295" width="1.5703125" style="36" customWidth="1"/>
    <col min="1296" max="1296" width="11.42578125" style="36" customWidth="1"/>
    <col min="1297" max="1297" width="12.140625" style="36" customWidth="1"/>
    <col min="1298" max="1298" width="1.7109375" style="36" customWidth="1"/>
    <col min="1299" max="1299" width="13.5703125" style="36" customWidth="1"/>
    <col min="1300" max="1536" width="8.85546875" style="36"/>
    <col min="1537" max="1537" width="9.28515625" style="36" customWidth="1"/>
    <col min="1538" max="1538" width="1.7109375" style="36" customWidth="1"/>
    <col min="1539" max="1542" width="12" style="36" customWidth="1"/>
    <col min="1543" max="1543" width="11.85546875" style="36" customWidth="1"/>
    <col min="1544" max="1544" width="10.7109375" style="36" customWidth="1"/>
    <col min="1545" max="1545" width="10.5703125" style="36" customWidth="1"/>
    <col min="1546" max="1546" width="1.140625" style="36" customWidth="1"/>
    <col min="1547" max="1547" width="11.28515625" style="36" customWidth="1"/>
    <col min="1548" max="1548" width="12.7109375" style="36" customWidth="1"/>
    <col min="1549" max="1549" width="11.5703125" style="36" customWidth="1"/>
    <col min="1550" max="1550" width="12.42578125" style="36" customWidth="1"/>
    <col min="1551" max="1551" width="1.5703125" style="36" customWidth="1"/>
    <col min="1552" max="1552" width="11.42578125" style="36" customWidth="1"/>
    <col min="1553" max="1553" width="12.140625" style="36" customWidth="1"/>
    <col min="1554" max="1554" width="1.7109375" style="36" customWidth="1"/>
    <col min="1555" max="1555" width="13.5703125" style="36" customWidth="1"/>
    <col min="1556" max="1792" width="8.85546875" style="36"/>
    <col min="1793" max="1793" width="9.28515625" style="36" customWidth="1"/>
    <col min="1794" max="1794" width="1.7109375" style="36" customWidth="1"/>
    <col min="1795" max="1798" width="12" style="36" customWidth="1"/>
    <col min="1799" max="1799" width="11.85546875" style="36" customWidth="1"/>
    <col min="1800" max="1800" width="10.7109375" style="36" customWidth="1"/>
    <col min="1801" max="1801" width="10.5703125" style="36" customWidth="1"/>
    <col min="1802" max="1802" width="1.140625" style="36" customWidth="1"/>
    <col min="1803" max="1803" width="11.28515625" style="36" customWidth="1"/>
    <col min="1804" max="1804" width="12.7109375" style="36" customWidth="1"/>
    <col min="1805" max="1805" width="11.5703125" style="36" customWidth="1"/>
    <col min="1806" max="1806" width="12.42578125" style="36" customWidth="1"/>
    <col min="1807" max="1807" width="1.5703125" style="36" customWidth="1"/>
    <col min="1808" max="1808" width="11.42578125" style="36" customWidth="1"/>
    <col min="1809" max="1809" width="12.140625" style="36" customWidth="1"/>
    <col min="1810" max="1810" width="1.7109375" style="36" customWidth="1"/>
    <col min="1811" max="1811" width="13.5703125" style="36" customWidth="1"/>
    <col min="1812" max="2048" width="8.85546875" style="36"/>
    <col min="2049" max="2049" width="9.28515625" style="36" customWidth="1"/>
    <col min="2050" max="2050" width="1.7109375" style="36" customWidth="1"/>
    <col min="2051" max="2054" width="12" style="36" customWidth="1"/>
    <col min="2055" max="2055" width="11.85546875" style="36" customWidth="1"/>
    <col min="2056" max="2056" width="10.7109375" style="36" customWidth="1"/>
    <col min="2057" max="2057" width="10.5703125" style="36" customWidth="1"/>
    <col min="2058" max="2058" width="1.140625" style="36" customWidth="1"/>
    <col min="2059" max="2059" width="11.28515625" style="36" customWidth="1"/>
    <col min="2060" max="2060" width="12.7109375" style="36" customWidth="1"/>
    <col min="2061" max="2061" width="11.5703125" style="36" customWidth="1"/>
    <col min="2062" max="2062" width="12.42578125" style="36" customWidth="1"/>
    <col min="2063" max="2063" width="1.5703125" style="36" customWidth="1"/>
    <col min="2064" max="2064" width="11.42578125" style="36" customWidth="1"/>
    <col min="2065" max="2065" width="12.140625" style="36" customWidth="1"/>
    <col min="2066" max="2066" width="1.7109375" style="36" customWidth="1"/>
    <col min="2067" max="2067" width="13.5703125" style="36" customWidth="1"/>
    <col min="2068" max="2304" width="8.85546875" style="36"/>
    <col min="2305" max="2305" width="9.28515625" style="36" customWidth="1"/>
    <col min="2306" max="2306" width="1.7109375" style="36" customWidth="1"/>
    <col min="2307" max="2310" width="12" style="36" customWidth="1"/>
    <col min="2311" max="2311" width="11.85546875" style="36" customWidth="1"/>
    <col min="2312" max="2312" width="10.7109375" style="36" customWidth="1"/>
    <col min="2313" max="2313" width="10.5703125" style="36" customWidth="1"/>
    <col min="2314" max="2314" width="1.140625" style="36" customWidth="1"/>
    <col min="2315" max="2315" width="11.28515625" style="36" customWidth="1"/>
    <col min="2316" max="2316" width="12.7109375" style="36" customWidth="1"/>
    <col min="2317" max="2317" width="11.5703125" style="36" customWidth="1"/>
    <col min="2318" max="2318" width="12.42578125" style="36" customWidth="1"/>
    <col min="2319" max="2319" width="1.5703125" style="36" customWidth="1"/>
    <col min="2320" max="2320" width="11.42578125" style="36" customWidth="1"/>
    <col min="2321" max="2321" width="12.140625" style="36" customWidth="1"/>
    <col min="2322" max="2322" width="1.7109375" style="36" customWidth="1"/>
    <col min="2323" max="2323" width="13.5703125" style="36" customWidth="1"/>
    <col min="2324" max="2560" width="8.85546875" style="36"/>
    <col min="2561" max="2561" width="9.28515625" style="36" customWidth="1"/>
    <col min="2562" max="2562" width="1.7109375" style="36" customWidth="1"/>
    <col min="2563" max="2566" width="12" style="36" customWidth="1"/>
    <col min="2567" max="2567" width="11.85546875" style="36" customWidth="1"/>
    <col min="2568" max="2568" width="10.7109375" style="36" customWidth="1"/>
    <col min="2569" max="2569" width="10.5703125" style="36" customWidth="1"/>
    <col min="2570" max="2570" width="1.140625" style="36" customWidth="1"/>
    <col min="2571" max="2571" width="11.28515625" style="36" customWidth="1"/>
    <col min="2572" max="2572" width="12.7109375" style="36" customWidth="1"/>
    <col min="2573" max="2573" width="11.5703125" style="36" customWidth="1"/>
    <col min="2574" max="2574" width="12.42578125" style="36" customWidth="1"/>
    <col min="2575" max="2575" width="1.5703125" style="36" customWidth="1"/>
    <col min="2576" max="2576" width="11.42578125" style="36" customWidth="1"/>
    <col min="2577" max="2577" width="12.140625" style="36" customWidth="1"/>
    <col min="2578" max="2578" width="1.7109375" style="36" customWidth="1"/>
    <col min="2579" max="2579" width="13.5703125" style="36" customWidth="1"/>
    <col min="2580" max="2816" width="8.85546875" style="36"/>
    <col min="2817" max="2817" width="9.28515625" style="36" customWidth="1"/>
    <col min="2818" max="2818" width="1.7109375" style="36" customWidth="1"/>
    <col min="2819" max="2822" width="12" style="36" customWidth="1"/>
    <col min="2823" max="2823" width="11.85546875" style="36" customWidth="1"/>
    <col min="2824" max="2824" width="10.7109375" style="36" customWidth="1"/>
    <col min="2825" max="2825" width="10.5703125" style="36" customWidth="1"/>
    <col min="2826" max="2826" width="1.140625" style="36" customWidth="1"/>
    <col min="2827" max="2827" width="11.28515625" style="36" customWidth="1"/>
    <col min="2828" max="2828" width="12.7109375" style="36" customWidth="1"/>
    <col min="2829" max="2829" width="11.5703125" style="36" customWidth="1"/>
    <col min="2830" max="2830" width="12.42578125" style="36" customWidth="1"/>
    <col min="2831" max="2831" width="1.5703125" style="36" customWidth="1"/>
    <col min="2832" max="2832" width="11.42578125" style="36" customWidth="1"/>
    <col min="2833" max="2833" width="12.140625" style="36" customWidth="1"/>
    <col min="2834" max="2834" width="1.7109375" style="36" customWidth="1"/>
    <col min="2835" max="2835" width="13.5703125" style="36" customWidth="1"/>
    <col min="2836" max="3072" width="8.85546875" style="36"/>
    <col min="3073" max="3073" width="9.28515625" style="36" customWidth="1"/>
    <col min="3074" max="3074" width="1.7109375" style="36" customWidth="1"/>
    <col min="3075" max="3078" width="12" style="36" customWidth="1"/>
    <col min="3079" max="3079" width="11.85546875" style="36" customWidth="1"/>
    <col min="3080" max="3080" width="10.7109375" style="36" customWidth="1"/>
    <col min="3081" max="3081" width="10.5703125" style="36" customWidth="1"/>
    <col min="3082" max="3082" width="1.140625" style="36" customWidth="1"/>
    <col min="3083" max="3083" width="11.28515625" style="36" customWidth="1"/>
    <col min="3084" max="3084" width="12.7109375" style="36" customWidth="1"/>
    <col min="3085" max="3085" width="11.5703125" style="36" customWidth="1"/>
    <col min="3086" max="3086" width="12.42578125" style="36" customWidth="1"/>
    <col min="3087" max="3087" width="1.5703125" style="36" customWidth="1"/>
    <col min="3088" max="3088" width="11.42578125" style="36" customWidth="1"/>
    <col min="3089" max="3089" width="12.140625" style="36" customWidth="1"/>
    <col min="3090" max="3090" width="1.7109375" style="36" customWidth="1"/>
    <col min="3091" max="3091" width="13.5703125" style="36" customWidth="1"/>
    <col min="3092" max="3328" width="8.85546875" style="36"/>
    <col min="3329" max="3329" width="9.28515625" style="36" customWidth="1"/>
    <col min="3330" max="3330" width="1.7109375" style="36" customWidth="1"/>
    <col min="3331" max="3334" width="12" style="36" customWidth="1"/>
    <col min="3335" max="3335" width="11.85546875" style="36" customWidth="1"/>
    <col min="3336" max="3336" width="10.7109375" style="36" customWidth="1"/>
    <col min="3337" max="3337" width="10.5703125" style="36" customWidth="1"/>
    <col min="3338" max="3338" width="1.140625" style="36" customWidth="1"/>
    <col min="3339" max="3339" width="11.28515625" style="36" customWidth="1"/>
    <col min="3340" max="3340" width="12.7109375" style="36" customWidth="1"/>
    <col min="3341" max="3341" width="11.5703125" style="36" customWidth="1"/>
    <col min="3342" max="3342" width="12.42578125" style="36" customWidth="1"/>
    <col min="3343" max="3343" width="1.5703125" style="36" customWidth="1"/>
    <col min="3344" max="3344" width="11.42578125" style="36" customWidth="1"/>
    <col min="3345" max="3345" width="12.140625" style="36" customWidth="1"/>
    <col min="3346" max="3346" width="1.7109375" style="36" customWidth="1"/>
    <col min="3347" max="3347" width="13.5703125" style="36" customWidth="1"/>
    <col min="3348" max="3584" width="8.85546875" style="36"/>
    <col min="3585" max="3585" width="9.28515625" style="36" customWidth="1"/>
    <col min="3586" max="3586" width="1.7109375" style="36" customWidth="1"/>
    <col min="3587" max="3590" width="12" style="36" customWidth="1"/>
    <col min="3591" max="3591" width="11.85546875" style="36" customWidth="1"/>
    <col min="3592" max="3592" width="10.7109375" style="36" customWidth="1"/>
    <col min="3593" max="3593" width="10.5703125" style="36" customWidth="1"/>
    <col min="3594" max="3594" width="1.140625" style="36" customWidth="1"/>
    <col min="3595" max="3595" width="11.28515625" style="36" customWidth="1"/>
    <col min="3596" max="3596" width="12.7109375" style="36" customWidth="1"/>
    <col min="3597" max="3597" width="11.5703125" style="36" customWidth="1"/>
    <col min="3598" max="3598" width="12.42578125" style="36" customWidth="1"/>
    <col min="3599" max="3599" width="1.5703125" style="36" customWidth="1"/>
    <col min="3600" max="3600" width="11.42578125" style="36" customWidth="1"/>
    <col min="3601" max="3601" width="12.140625" style="36" customWidth="1"/>
    <col min="3602" max="3602" width="1.7109375" style="36" customWidth="1"/>
    <col min="3603" max="3603" width="13.5703125" style="36" customWidth="1"/>
    <col min="3604" max="3840" width="8.85546875" style="36"/>
    <col min="3841" max="3841" width="9.28515625" style="36" customWidth="1"/>
    <col min="3842" max="3842" width="1.7109375" style="36" customWidth="1"/>
    <col min="3843" max="3846" width="12" style="36" customWidth="1"/>
    <col min="3847" max="3847" width="11.85546875" style="36" customWidth="1"/>
    <col min="3848" max="3848" width="10.7109375" style="36" customWidth="1"/>
    <col min="3849" max="3849" width="10.5703125" style="36" customWidth="1"/>
    <col min="3850" max="3850" width="1.140625" style="36" customWidth="1"/>
    <col min="3851" max="3851" width="11.28515625" style="36" customWidth="1"/>
    <col min="3852" max="3852" width="12.7109375" style="36" customWidth="1"/>
    <col min="3853" max="3853" width="11.5703125" style="36" customWidth="1"/>
    <col min="3854" max="3854" width="12.42578125" style="36" customWidth="1"/>
    <col min="3855" max="3855" width="1.5703125" style="36" customWidth="1"/>
    <col min="3856" max="3856" width="11.42578125" style="36" customWidth="1"/>
    <col min="3857" max="3857" width="12.140625" style="36" customWidth="1"/>
    <col min="3858" max="3858" width="1.7109375" style="36" customWidth="1"/>
    <col min="3859" max="3859" width="13.5703125" style="36" customWidth="1"/>
    <col min="3860" max="4096" width="8.85546875" style="36"/>
    <col min="4097" max="4097" width="9.28515625" style="36" customWidth="1"/>
    <col min="4098" max="4098" width="1.7109375" style="36" customWidth="1"/>
    <col min="4099" max="4102" width="12" style="36" customWidth="1"/>
    <col min="4103" max="4103" width="11.85546875" style="36" customWidth="1"/>
    <col min="4104" max="4104" width="10.7109375" style="36" customWidth="1"/>
    <col min="4105" max="4105" width="10.5703125" style="36" customWidth="1"/>
    <col min="4106" max="4106" width="1.140625" style="36" customWidth="1"/>
    <col min="4107" max="4107" width="11.28515625" style="36" customWidth="1"/>
    <col min="4108" max="4108" width="12.7109375" style="36" customWidth="1"/>
    <col min="4109" max="4109" width="11.5703125" style="36" customWidth="1"/>
    <col min="4110" max="4110" width="12.42578125" style="36" customWidth="1"/>
    <col min="4111" max="4111" width="1.5703125" style="36" customWidth="1"/>
    <col min="4112" max="4112" width="11.42578125" style="36" customWidth="1"/>
    <col min="4113" max="4113" width="12.140625" style="36" customWidth="1"/>
    <col min="4114" max="4114" width="1.7109375" style="36" customWidth="1"/>
    <col min="4115" max="4115" width="13.5703125" style="36" customWidth="1"/>
    <col min="4116" max="4352" width="8.85546875" style="36"/>
    <col min="4353" max="4353" width="9.28515625" style="36" customWidth="1"/>
    <col min="4354" max="4354" width="1.7109375" style="36" customWidth="1"/>
    <col min="4355" max="4358" width="12" style="36" customWidth="1"/>
    <col min="4359" max="4359" width="11.85546875" style="36" customWidth="1"/>
    <col min="4360" max="4360" width="10.7109375" style="36" customWidth="1"/>
    <col min="4361" max="4361" width="10.5703125" style="36" customWidth="1"/>
    <col min="4362" max="4362" width="1.140625" style="36" customWidth="1"/>
    <col min="4363" max="4363" width="11.28515625" style="36" customWidth="1"/>
    <col min="4364" max="4364" width="12.7109375" style="36" customWidth="1"/>
    <col min="4365" max="4365" width="11.5703125" style="36" customWidth="1"/>
    <col min="4366" max="4366" width="12.42578125" style="36" customWidth="1"/>
    <col min="4367" max="4367" width="1.5703125" style="36" customWidth="1"/>
    <col min="4368" max="4368" width="11.42578125" style="36" customWidth="1"/>
    <col min="4369" max="4369" width="12.140625" style="36" customWidth="1"/>
    <col min="4370" max="4370" width="1.7109375" style="36" customWidth="1"/>
    <col min="4371" max="4371" width="13.5703125" style="36" customWidth="1"/>
    <col min="4372" max="4608" width="8.85546875" style="36"/>
    <col min="4609" max="4609" width="9.28515625" style="36" customWidth="1"/>
    <col min="4610" max="4610" width="1.7109375" style="36" customWidth="1"/>
    <col min="4611" max="4614" width="12" style="36" customWidth="1"/>
    <col min="4615" max="4615" width="11.85546875" style="36" customWidth="1"/>
    <col min="4616" max="4616" width="10.7109375" style="36" customWidth="1"/>
    <col min="4617" max="4617" width="10.5703125" style="36" customWidth="1"/>
    <col min="4618" max="4618" width="1.140625" style="36" customWidth="1"/>
    <col min="4619" max="4619" width="11.28515625" style="36" customWidth="1"/>
    <col min="4620" max="4620" width="12.7109375" style="36" customWidth="1"/>
    <col min="4621" max="4621" width="11.5703125" style="36" customWidth="1"/>
    <col min="4622" max="4622" width="12.42578125" style="36" customWidth="1"/>
    <col min="4623" max="4623" width="1.5703125" style="36" customWidth="1"/>
    <col min="4624" max="4624" width="11.42578125" style="36" customWidth="1"/>
    <col min="4625" max="4625" width="12.140625" style="36" customWidth="1"/>
    <col min="4626" max="4626" width="1.7109375" style="36" customWidth="1"/>
    <col min="4627" max="4627" width="13.5703125" style="36" customWidth="1"/>
    <col min="4628" max="4864" width="8.85546875" style="36"/>
    <col min="4865" max="4865" width="9.28515625" style="36" customWidth="1"/>
    <col min="4866" max="4866" width="1.7109375" style="36" customWidth="1"/>
    <col min="4867" max="4870" width="12" style="36" customWidth="1"/>
    <col min="4871" max="4871" width="11.85546875" style="36" customWidth="1"/>
    <col min="4872" max="4872" width="10.7109375" style="36" customWidth="1"/>
    <col min="4873" max="4873" width="10.5703125" style="36" customWidth="1"/>
    <col min="4874" max="4874" width="1.140625" style="36" customWidth="1"/>
    <col min="4875" max="4875" width="11.28515625" style="36" customWidth="1"/>
    <col min="4876" max="4876" width="12.7109375" style="36" customWidth="1"/>
    <col min="4877" max="4877" width="11.5703125" style="36" customWidth="1"/>
    <col min="4878" max="4878" width="12.42578125" style="36" customWidth="1"/>
    <col min="4879" max="4879" width="1.5703125" style="36" customWidth="1"/>
    <col min="4880" max="4880" width="11.42578125" style="36" customWidth="1"/>
    <col min="4881" max="4881" width="12.140625" style="36" customWidth="1"/>
    <col min="4882" max="4882" width="1.7109375" style="36" customWidth="1"/>
    <col min="4883" max="4883" width="13.5703125" style="36" customWidth="1"/>
    <col min="4884" max="5120" width="8.85546875" style="36"/>
    <col min="5121" max="5121" width="9.28515625" style="36" customWidth="1"/>
    <col min="5122" max="5122" width="1.7109375" style="36" customWidth="1"/>
    <col min="5123" max="5126" width="12" style="36" customWidth="1"/>
    <col min="5127" max="5127" width="11.85546875" style="36" customWidth="1"/>
    <col min="5128" max="5128" width="10.7109375" style="36" customWidth="1"/>
    <col min="5129" max="5129" width="10.5703125" style="36" customWidth="1"/>
    <col min="5130" max="5130" width="1.140625" style="36" customWidth="1"/>
    <col min="5131" max="5131" width="11.28515625" style="36" customWidth="1"/>
    <col min="5132" max="5132" width="12.7109375" style="36" customWidth="1"/>
    <col min="5133" max="5133" width="11.5703125" style="36" customWidth="1"/>
    <col min="5134" max="5134" width="12.42578125" style="36" customWidth="1"/>
    <col min="5135" max="5135" width="1.5703125" style="36" customWidth="1"/>
    <col min="5136" max="5136" width="11.42578125" style="36" customWidth="1"/>
    <col min="5137" max="5137" width="12.140625" style="36" customWidth="1"/>
    <col min="5138" max="5138" width="1.7109375" style="36" customWidth="1"/>
    <col min="5139" max="5139" width="13.5703125" style="36" customWidth="1"/>
    <col min="5140" max="5376" width="8.85546875" style="36"/>
    <col min="5377" max="5377" width="9.28515625" style="36" customWidth="1"/>
    <col min="5378" max="5378" width="1.7109375" style="36" customWidth="1"/>
    <col min="5379" max="5382" width="12" style="36" customWidth="1"/>
    <col min="5383" max="5383" width="11.85546875" style="36" customWidth="1"/>
    <col min="5384" max="5384" width="10.7109375" style="36" customWidth="1"/>
    <col min="5385" max="5385" width="10.5703125" style="36" customWidth="1"/>
    <col min="5386" max="5386" width="1.140625" style="36" customWidth="1"/>
    <col min="5387" max="5387" width="11.28515625" style="36" customWidth="1"/>
    <col min="5388" max="5388" width="12.7109375" style="36" customWidth="1"/>
    <col min="5389" max="5389" width="11.5703125" style="36" customWidth="1"/>
    <col min="5390" max="5390" width="12.42578125" style="36" customWidth="1"/>
    <col min="5391" max="5391" width="1.5703125" style="36" customWidth="1"/>
    <col min="5392" max="5392" width="11.42578125" style="36" customWidth="1"/>
    <col min="5393" max="5393" width="12.140625" style="36" customWidth="1"/>
    <col min="5394" max="5394" width="1.7109375" style="36" customWidth="1"/>
    <col min="5395" max="5395" width="13.5703125" style="36" customWidth="1"/>
    <col min="5396" max="5632" width="8.85546875" style="36"/>
    <col min="5633" max="5633" width="9.28515625" style="36" customWidth="1"/>
    <col min="5634" max="5634" width="1.7109375" style="36" customWidth="1"/>
    <col min="5635" max="5638" width="12" style="36" customWidth="1"/>
    <col min="5639" max="5639" width="11.85546875" style="36" customWidth="1"/>
    <col min="5640" max="5640" width="10.7109375" style="36" customWidth="1"/>
    <col min="5641" max="5641" width="10.5703125" style="36" customWidth="1"/>
    <col min="5642" max="5642" width="1.140625" style="36" customWidth="1"/>
    <col min="5643" max="5643" width="11.28515625" style="36" customWidth="1"/>
    <col min="5644" max="5644" width="12.7109375" style="36" customWidth="1"/>
    <col min="5645" max="5645" width="11.5703125" style="36" customWidth="1"/>
    <col min="5646" max="5646" width="12.42578125" style="36" customWidth="1"/>
    <col min="5647" max="5647" width="1.5703125" style="36" customWidth="1"/>
    <col min="5648" max="5648" width="11.42578125" style="36" customWidth="1"/>
    <col min="5649" max="5649" width="12.140625" style="36" customWidth="1"/>
    <col min="5650" max="5650" width="1.7109375" style="36" customWidth="1"/>
    <col min="5651" max="5651" width="13.5703125" style="36" customWidth="1"/>
    <col min="5652" max="5888" width="8.85546875" style="36"/>
    <col min="5889" max="5889" width="9.28515625" style="36" customWidth="1"/>
    <col min="5890" max="5890" width="1.7109375" style="36" customWidth="1"/>
    <col min="5891" max="5894" width="12" style="36" customWidth="1"/>
    <col min="5895" max="5895" width="11.85546875" style="36" customWidth="1"/>
    <col min="5896" max="5896" width="10.7109375" style="36" customWidth="1"/>
    <col min="5897" max="5897" width="10.5703125" style="36" customWidth="1"/>
    <col min="5898" max="5898" width="1.140625" style="36" customWidth="1"/>
    <col min="5899" max="5899" width="11.28515625" style="36" customWidth="1"/>
    <col min="5900" max="5900" width="12.7109375" style="36" customWidth="1"/>
    <col min="5901" max="5901" width="11.5703125" style="36" customWidth="1"/>
    <col min="5902" max="5902" width="12.42578125" style="36" customWidth="1"/>
    <col min="5903" max="5903" width="1.5703125" style="36" customWidth="1"/>
    <col min="5904" max="5904" width="11.42578125" style="36" customWidth="1"/>
    <col min="5905" max="5905" width="12.140625" style="36" customWidth="1"/>
    <col min="5906" max="5906" width="1.7109375" style="36" customWidth="1"/>
    <col min="5907" max="5907" width="13.5703125" style="36" customWidth="1"/>
    <col min="5908" max="6144" width="8.85546875" style="36"/>
    <col min="6145" max="6145" width="9.28515625" style="36" customWidth="1"/>
    <col min="6146" max="6146" width="1.7109375" style="36" customWidth="1"/>
    <col min="6147" max="6150" width="12" style="36" customWidth="1"/>
    <col min="6151" max="6151" width="11.85546875" style="36" customWidth="1"/>
    <col min="6152" max="6152" width="10.7109375" style="36" customWidth="1"/>
    <col min="6153" max="6153" width="10.5703125" style="36" customWidth="1"/>
    <col min="6154" max="6154" width="1.140625" style="36" customWidth="1"/>
    <col min="6155" max="6155" width="11.28515625" style="36" customWidth="1"/>
    <col min="6156" max="6156" width="12.7109375" style="36" customWidth="1"/>
    <col min="6157" max="6157" width="11.5703125" style="36" customWidth="1"/>
    <col min="6158" max="6158" width="12.42578125" style="36" customWidth="1"/>
    <col min="6159" max="6159" width="1.5703125" style="36" customWidth="1"/>
    <col min="6160" max="6160" width="11.42578125" style="36" customWidth="1"/>
    <col min="6161" max="6161" width="12.140625" style="36" customWidth="1"/>
    <col min="6162" max="6162" width="1.7109375" style="36" customWidth="1"/>
    <col min="6163" max="6163" width="13.5703125" style="36" customWidth="1"/>
    <col min="6164" max="6400" width="8.85546875" style="36"/>
    <col min="6401" max="6401" width="9.28515625" style="36" customWidth="1"/>
    <col min="6402" max="6402" width="1.7109375" style="36" customWidth="1"/>
    <col min="6403" max="6406" width="12" style="36" customWidth="1"/>
    <col min="6407" max="6407" width="11.85546875" style="36" customWidth="1"/>
    <col min="6408" max="6408" width="10.7109375" style="36" customWidth="1"/>
    <col min="6409" max="6409" width="10.5703125" style="36" customWidth="1"/>
    <col min="6410" max="6410" width="1.140625" style="36" customWidth="1"/>
    <col min="6411" max="6411" width="11.28515625" style="36" customWidth="1"/>
    <col min="6412" max="6412" width="12.7109375" style="36" customWidth="1"/>
    <col min="6413" max="6413" width="11.5703125" style="36" customWidth="1"/>
    <col min="6414" max="6414" width="12.42578125" style="36" customWidth="1"/>
    <col min="6415" max="6415" width="1.5703125" style="36" customWidth="1"/>
    <col min="6416" max="6416" width="11.42578125" style="36" customWidth="1"/>
    <col min="6417" max="6417" width="12.140625" style="36" customWidth="1"/>
    <col min="6418" max="6418" width="1.7109375" style="36" customWidth="1"/>
    <col min="6419" max="6419" width="13.5703125" style="36" customWidth="1"/>
    <col min="6420" max="6656" width="8.85546875" style="36"/>
    <col min="6657" max="6657" width="9.28515625" style="36" customWidth="1"/>
    <col min="6658" max="6658" width="1.7109375" style="36" customWidth="1"/>
    <col min="6659" max="6662" width="12" style="36" customWidth="1"/>
    <col min="6663" max="6663" width="11.85546875" style="36" customWidth="1"/>
    <col min="6664" max="6664" width="10.7109375" style="36" customWidth="1"/>
    <col min="6665" max="6665" width="10.5703125" style="36" customWidth="1"/>
    <col min="6666" max="6666" width="1.140625" style="36" customWidth="1"/>
    <col min="6667" max="6667" width="11.28515625" style="36" customWidth="1"/>
    <col min="6668" max="6668" width="12.7109375" style="36" customWidth="1"/>
    <col min="6669" max="6669" width="11.5703125" style="36" customWidth="1"/>
    <col min="6670" max="6670" width="12.42578125" style="36" customWidth="1"/>
    <col min="6671" max="6671" width="1.5703125" style="36" customWidth="1"/>
    <col min="6672" max="6672" width="11.42578125" style="36" customWidth="1"/>
    <col min="6673" max="6673" width="12.140625" style="36" customWidth="1"/>
    <col min="6674" max="6674" width="1.7109375" style="36" customWidth="1"/>
    <col min="6675" max="6675" width="13.5703125" style="36" customWidth="1"/>
    <col min="6676" max="6912" width="8.85546875" style="36"/>
    <col min="6913" max="6913" width="9.28515625" style="36" customWidth="1"/>
    <col min="6914" max="6914" width="1.7109375" style="36" customWidth="1"/>
    <col min="6915" max="6918" width="12" style="36" customWidth="1"/>
    <col min="6919" max="6919" width="11.85546875" style="36" customWidth="1"/>
    <col min="6920" max="6920" width="10.7109375" style="36" customWidth="1"/>
    <col min="6921" max="6921" width="10.5703125" style="36" customWidth="1"/>
    <col min="6922" max="6922" width="1.140625" style="36" customWidth="1"/>
    <col min="6923" max="6923" width="11.28515625" style="36" customWidth="1"/>
    <col min="6924" max="6924" width="12.7109375" style="36" customWidth="1"/>
    <col min="6925" max="6925" width="11.5703125" style="36" customWidth="1"/>
    <col min="6926" max="6926" width="12.42578125" style="36" customWidth="1"/>
    <col min="6927" max="6927" width="1.5703125" style="36" customWidth="1"/>
    <col min="6928" max="6928" width="11.42578125" style="36" customWidth="1"/>
    <col min="6929" max="6929" width="12.140625" style="36" customWidth="1"/>
    <col min="6930" max="6930" width="1.7109375" style="36" customWidth="1"/>
    <col min="6931" max="6931" width="13.5703125" style="36" customWidth="1"/>
    <col min="6932" max="7168" width="8.85546875" style="36"/>
    <col min="7169" max="7169" width="9.28515625" style="36" customWidth="1"/>
    <col min="7170" max="7170" width="1.7109375" style="36" customWidth="1"/>
    <col min="7171" max="7174" width="12" style="36" customWidth="1"/>
    <col min="7175" max="7175" width="11.85546875" style="36" customWidth="1"/>
    <col min="7176" max="7176" width="10.7109375" style="36" customWidth="1"/>
    <col min="7177" max="7177" width="10.5703125" style="36" customWidth="1"/>
    <col min="7178" max="7178" width="1.140625" style="36" customWidth="1"/>
    <col min="7179" max="7179" width="11.28515625" style="36" customWidth="1"/>
    <col min="7180" max="7180" width="12.7109375" style="36" customWidth="1"/>
    <col min="7181" max="7181" width="11.5703125" style="36" customWidth="1"/>
    <col min="7182" max="7182" width="12.42578125" style="36" customWidth="1"/>
    <col min="7183" max="7183" width="1.5703125" style="36" customWidth="1"/>
    <col min="7184" max="7184" width="11.42578125" style="36" customWidth="1"/>
    <col min="7185" max="7185" width="12.140625" style="36" customWidth="1"/>
    <col min="7186" max="7186" width="1.7109375" style="36" customWidth="1"/>
    <col min="7187" max="7187" width="13.5703125" style="36" customWidth="1"/>
    <col min="7188" max="7424" width="8.85546875" style="36"/>
    <col min="7425" max="7425" width="9.28515625" style="36" customWidth="1"/>
    <col min="7426" max="7426" width="1.7109375" style="36" customWidth="1"/>
    <col min="7427" max="7430" width="12" style="36" customWidth="1"/>
    <col min="7431" max="7431" width="11.85546875" style="36" customWidth="1"/>
    <col min="7432" max="7432" width="10.7109375" style="36" customWidth="1"/>
    <col min="7433" max="7433" width="10.5703125" style="36" customWidth="1"/>
    <col min="7434" max="7434" width="1.140625" style="36" customWidth="1"/>
    <col min="7435" max="7435" width="11.28515625" style="36" customWidth="1"/>
    <col min="7436" max="7436" width="12.7109375" style="36" customWidth="1"/>
    <col min="7437" max="7437" width="11.5703125" style="36" customWidth="1"/>
    <col min="7438" max="7438" width="12.42578125" style="36" customWidth="1"/>
    <col min="7439" max="7439" width="1.5703125" style="36" customWidth="1"/>
    <col min="7440" max="7440" width="11.42578125" style="36" customWidth="1"/>
    <col min="7441" max="7441" width="12.140625" style="36" customWidth="1"/>
    <col min="7442" max="7442" width="1.7109375" style="36" customWidth="1"/>
    <col min="7443" max="7443" width="13.5703125" style="36" customWidth="1"/>
    <col min="7444" max="7680" width="8.85546875" style="36"/>
    <col min="7681" max="7681" width="9.28515625" style="36" customWidth="1"/>
    <col min="7682" max="7682" width="1.7109375" style="36" customWidth="1"/>
    <col min="7683" max="7686" width="12" style="36" customWidth="1"/>
    <col min="7687" max="7687" width="11.85546875" style="36" customWidth="1"/>
    <col min="7688" max="7688" width="10.7109375" style="36" customWidth="1"/>
    <col min="7689" max="7689" width="10.5703125" style="36" customWidth="1"/>
    <col min="7690" max="7690" width="1.140625" style="36" customWidth="1"/>
    <col min="7691" max="7691" width="11.28515625" style="36" customWidth="1"/>
    <col min="7692" max="7692" width="12.7109375" style="36" customWidth="1"/>
    <col min="7693" max="7693" width="11.5703125" style="36" customWidth="1"/>
    <col min="7694" max="7694" width="12.42578125" style="36" customWidth="1"/>
    <col min="7695" max="7695" width="1.5703125" style="36" customWidth="1"/>
    <col min="7696" max="7696" width="11.42578125" style="36" customWidth="1"/>
    <col min="7697" max="7697" width="12.140625" style="36" customWidth="1"/>
    <col min="7698" max="7698" width="1.7109375" style="36" customWidth="1"/>
    <col min="7699" max="7699" width="13.5703125" style="36" customWidth="1"/>
    <col min="7700" max="7936" width="8.85546875" style="36"/>
    <col min="7937" max="7937" width="9.28515625" style="36" customWidth="1"/>
    <col min="7938" max="7938" width="1.7109375" style="36" customWidth="1"/>
    <col min="7939" max="7942" width="12" style="36" customWidth="1"/>
    <col min="7943" max="7943" width="11.85546875" style="36" customWidth="1"/>
    <col min="7944" max="7944" width="10.7109375" style="36" customWidth="1"/>
    <col min="7945" max="7945" width="10.5703125" style="36" customWidth="1"/>
    <col min="7946" max="7946" width="1.140625" style="36" customWidth="1"/>
    <col min="7947" max="7947" width="11.28515625" style="36" customWidth="1"/>
    <col min="7948" max="7948" width="12.7109375" style="36" customWidth="1"/>
    <col min="7949" max="7949" width="11.5703125" style="36" customWidth="1"/>
    <col min="7950" max="7950" width="12.42578125" style="36" customWidth="1"/>
    <col min="7951" max="7951" width="1.5703125" style="36" customWidth="1"/>
    <col min="7952" max="7952" width="11.42578125" style="36" customWidth="1"/>
    <col min="7953" max="7953" width="12.140625" style="36" customWidth="1"/>
    <col min="7954" max="7954" width="1.7109375" style="36" customWidth="1"/>
    <col min="7955" max="7955" width="13.5703125" style="36" customWidth="1"/>
    <col min="7956" max="8192" width="8.85546875" style="36"/>
    <col min="8193" max="8193" width="9.28515625" style="36" customWidth="1"/>
    <col min="8194" max="8194" width="1.7109375" style="36" customWidth="1"/>
    <col min="8195" max="8198" width="12" style="36" customWidth="1"/>
    <col min="8199" max="8199" width="11.85546875" style="36" customWidth="1"/>
    <col min="8200" max="8200" width="10.7109375" style="36" customWidth="1"/>
    <col min="8201" max="8201" width="10.5703125" style="36" customWidth="1"/>
    <col min="8202" max="8202" width="1.140625" style="36" customWidth="1"/>
    <col min="8203" max="8203" width="11.28515625" style="36" customWidth="1"/>
    <col min="8204" max="8204" width="12.7109375" style="36" customWidth="1"/>
    <col min="8205" max="8205" width="11.5703125" style="36" customWidth="1"/>
    <col min="8206" max="8206" width="12.42578125" style="36" customWidth="1"/>
    <col min="8207" max="8207" width="1.5703125" style="36" customWidth="1"/>
    <col min="8208" max="8208" width="11.42578125" style="36" customWidth="1"/>
    <col min="8209" max="8209" width="12.140625" style="36" customWidth="1"/>
    <col min="8210" max="8210" width="1.7109375" style="36" customWidth="1"/>
    <col min="8211" max="8211" width="13.5703125" style="36" customWidth="1"/>
    <col min="8212" max="8448" width="8.85546875" style="36"/>
    <col min="8449" max="8449" width="9.28515625" style="36" customWidth="1"/>
    <col min="8450" max="8450" width="1.7109375" style="36" customWidth="1"/>
    <col min="8451" max="8454" width="12" style="36" customWidth="1"/>
    <col min="8455" max="8455" width="11.85546875" style="36" customWidth="1"/>
    <col min="8456" max="8456" width="10.7109375" style="36" customWidth="1"/>
    <col min="8457" max="8457" width="10.5703125" style="36" customWidth="1"/>
    <col min="8458" max="8458" width="1.140625" style="36" customWidth="1"/>
    <col min="8459" max="8459" width="11.28515625" style="36" customWidth="1"/>
    <col min="8460" max="8460" width="12.7109375" style="36" customWidth="1"/>
    <col min="8461" max="8461" width="11.5703125" style="36" customWidth="1"/>
    <col min="8462" max="8462" width="12.42578125" style="36" customWidth="1"/>
    <col min="8463" max="8463" width="1.5703125" style="36" customWidth="1"/>
    <col min="8464" max="8464" width="11.42578125" style="36" customWidth="1"/>
    <col min="8465" max="8465" width="12.140625" style="36" customWidth="1"/>
    <col min="8466" max="8466" width="1.7109375" style="36" customWidth="1"/>
    <col min="8467" max="8467" width="13.5703125" style="36" customWidth="1"/>
    <col min="8468" max="8704" width="8.85546875" style="36"/>
    <col min="8705" max="8705" width="9.28515625" style="36" customWidth="1"/>
    <col min="8706" max="8706" width="1.7109375" style="36" customWidth="1"/>
    <col min="8707" max="8710" width="12" style="36" customWidth="1"/>
    <col min="8711" max="8711" width="11.85546875" style="36" customWidth="1"/>
    <col min="8712" max="8712" width="10.7109375" style="36" customWidth="1"/>
    <col min="8713" max="8713" width="10.5703125" style="36" customWidth="1"/>
    <col min="8714" max="8714" width="1.140625" style="36" customWidth="1"/>
    <col min="8715" max="8715" width="11.28515625" style="36" customWidth="1"/>
    <col min="8716" max="8716" width="12.7109375" style="36" customWidth="1"/>
    <col min="8717" max="8717" width="11.5703125" style="36" customWidth="1"/>
    <col min="8718" max="8718" width="12.42578125" style="36" customWidth="1"/>
    <col min="8719" max="8719" width="1.5703125" style="36" customWidth="1"/>
    <col min="8720" max="8720" width="11.42578125" style="36" customWidth="1"/>
    <col min="8721" max="8721" width="12.140625" style="36" customWidth="1"/>
    <col min="8722" max="8722" width="1.7109375" style="36" customWidth="1"/>
    <col min="8723" max="8723" width="13.5703125" style="36" customWidth="1"/>
    <col min="8724" max="8960" width="8.85546875" style="36"/>
    <col min="8961" max="8961" width="9.28515625" style="36" customWidth="1"/>
    <col min="8962" max="8962" width="1.7109375" style="36" customWidth="1"/>
    <col min="8963" max="8966" width="12" style="36" customWidth="1"/>
    <col min="8967" max="8967" width="11.85546875" style="36" customWidth="1"/>
    <col min="8968" max="8968" width="10.7109375" style="36" customWidth="1"/>
    <col min="8969" max="8969" width="10.5703125" style="36" customWidth="1"/>
    <col min="8970" max="8970" width="1.140625" style="36" customWidth="1"/>
    <col min="8971" max="8971" width="11.28515625" style="36" customWidth="1"/>
    <col min="8972" max="8972" width="12.7109375" style="36" customWidth="1"/>
    <col min="8973" max="8973" width="11.5703125" style="36" customWidth="1"/>
    <col min="8974" max="8974" width="12.42578125" style="36" customWidth="1"/>
    <col min="8975" max="8975" width="1.5703125" style="36" customWidth="1"/>
    <col min="8976" max="8976" width="11.42578125" style="36" customWidth="1"/>
    <col min="8977" max="8977" width="12.140625" style="36" customWidth="1"/>
    <col min="8978" max="8978" width="1.7109375" style="36" customWidth="1"/>
    <col min="8979" max="8979" width="13.5703125" style="36" customWidth="1"/>
    <col min="8980" max="9216" width="8.85546875" style="36"/>
    <col min="9217" max="9217" width="9.28515625" style="36" customWidth="1"/>
    <col min="9218" max="9218" width="1.7109375" style="36" customWidth="1"/>
    <col min="9219" max="9222" width="12" style="36" customWidth="1"/>
    <col min="9223" max="9223" width="11.85546875" style="36" customWidth="1"/>
    <col min="9224" max="9224" width="10.7109375" style="36" customWidth="1"/>
    <col min="9225" max="9225" width="10.5703125" style="36" customWidth="1"/>
    <col min="9226" max="9226" width="1.140625" style="36" customWidth="1"/>
    <col min="9227" max="9227" width="11.28515625" style="36" customWidth="1"/>
    <col min="9228" max="9228" width="12.7109375" style="36" customWidth="1"/>
    <col min="9229" max="9229" width="11.5703125" style="36" customWidth="1"/>
    <col min="9230" max="9230" width="12.42578125" style="36" customWidth="1"/>
    <col min="9231" max="9231" width="1.5703125" style="36" customWidth="1"/>
    <col min="9232" max="9232" width="11.42578125" style="36" customWidth="1"/>
    <col min="9233" max="9233" width="12.140625" style="36" customWidth="1"/>
    <col min="9234" max="9234" width="1.7109375" style="36" customWidth="1"/>
    <col min="9235" max="9235" width="13.5703125" style="36" customWidth="1"/>
    <col min="9236" max="9472" width="8.85546875" style="36"/>
    <col min="9473" max="9473" width="9.28515625" style="36" customWidth="1"/>
    <col min="9474" max="9474" width="1.7109375" style="36" customWidth="1"/>
    <col min="9475" max="9478" width="12" style="36" customWidth="1"/>
    <col min="9479" max="9479" width="11.85546875" style="36" customWidth="1"/>
    <col min="9480" max="9480" width="10.7109375" style="36" customWidth="1"/>
    <col min="9481" max="9481" width="10.5703125" style="36" customWidth="1"/>
    <col min="9482" max="9482" width="1.140625" style="36" customWidth="1"/>
    <col min="9483" max="9483" width="11.28515625" style="36" customWidth="1"/>
    <col min="9484" max="9484" width="12.7109375" style="36" customWidth="1"/>
    <col min="9485" max="9485" width="11.5703125" style="36" customWidth="1"/>
    <col min="9486" max="9486" width="12.42578125" style="36" customWidth="1"/>
    <col min="9487" max="9487" width="1.5703125" style="36" customWidth="1"/>
    <col min="9488" max="9488" width="11.42578125" style="36" customWidth="1"/>
    <col min="9489" max="9489" width="12.140625" style="36" customWidth="1"/>
    <col min="9490" max="9490" width="1.7109375" style="36" customWidth="1"/>
    <col min="9491" max="9491" width="13.5703125" style="36" customWidth="1"/>
    <col min="9492" max="9728" width="8.85546875" style="36"/>
    <col min="9729" max="9729" width="9.28515625" style="36" customWidth="1"/>
    <col min="9730" max="9730" width="1.7109375" style="36" customWidth="1"/>
    <col min="9731" max="9734" width="12" style="36" customWidth="1"/>
    <col min="9735" max="9735" width="11.85546875" style="36" customWidth="1"/>
    <col min="9736" max="9736" width="10.7109375" style="36" customWidth="1"/>
    <col min="9737" max="9737" width="10.5703125" style="36" customWidth="1"/>
    <col min="9738" max="9738" width="1.140625" style="36" customWidth="1"/>
    <col min="9739" max="9739" width="11.28515625" style="36" customWidth="1"/>
    <col min="9740" max="9740" width="12.7109375" style="36" customWidth="1"/>
    <col min="9741" max="9741" width="11.5703125" style="36" customWidth="1"/>
    <col min="9742" max="9742" width="12.42578125" style="36" customWidth="1"/>
    <col min="9743" max="9743" width="1.5703125" style="36" customWidth="1"/>
    <col min="9744" max="9744" width="11.42578125" style="36" customWidth="1"/>
    <col min="9745" max="9745" width="12.140625" style="36" customWidth="1"/>
    <col min="9746" max="9746" width="1.7109375" style="36" customWidth="1"/>
    <col min="9747" max="9747" width="13.5703125" style="36" customWidth="1"/>
    <col min="9748" max="9984" width="8.85546875" style="36"/>
    <col min="9985" max="9985" width="9.28515625" style="36" customWidth="1"/>
    <col min="9986" max="9986" width="1.7109375" style="36" customWidth="1"/>
    <col min="9987" max="9990" width="12" style="36" customWidth="1"/>
    <col min="9991" max="9991" width="11.85546875" style="36" customWidth="1"/>
    <col min="9992" max="9992" width="10.7109375" style="36" customWidth="1"/>
    <col min="9993" max="9993" width="10.5703125" style="36" customWidth="1"/>
    <col min="9994" max="9994" width="1.140625" style="36" customWidth="1"/>
    <col min="9995" max="9995" width="11.28515625" style="36" customWidth="1"/>
    <col min="9996" max="9996" width="12.7109375" style="36" customWidth="1"/>
    <col min="9997" max="9997" width="11.5703125" style="36" customWidth="1"/>
    <col min="9998" max="9998" width="12.42578125" style="36" customWidth="1"/>
    <col min="9999" max="9999" width="1.5703125" style="36" customWidth="1"/>
    <col min="10000" max="10000" width="11.42578125" style="36" customWidth="1"/>
    <col min="10001" max="10001" width="12.140625" style="36" customWidth="1"/>
    <col min="10002" max="10002" width="1.7109375" style="36" customWidth="1"/>
    <col min="10003" max="10003" width="13.5703125" style="36" customWidth="1"/>
    <col min="10004" max="10240" width="8.85546875" style="36"/>
    <col min="10241" max="10241" width="9.28515625" style="36" customWidth="1"/>
    <col min="10242" max="10242" width="1.7109375" style="36" customWidth="1"/>
    <col min="10243" max="10246" width="12" style="36" customWidth="1"/>
    <col min="10247" max="10247" width="11.85546875" style="36" customWidth="1"/>
    <col min="10248" max="10248" width="10.7109375" style="36" customWidth="1"/>
    <col min="10249" max="10249" width="10.5703125" style="36" customWidth="1"/>
    <col min="10250" max="10250" width="1.140625" style="36" customWidth="1"/>
    <col min="10251" max="10251" width="11.28515625" style="36" customWidth="1"/>
    <col min="10252" max="10252" width="12.7109375" style="36" customWidth="1"/>
    <col min="10253" max="10253" width="11.5703125" style="36" customWidth="1"/>
    <col min="10254" max="10254" width="12.42578125" style="36" customWidth="1"/>
    <col min="10255" max="10255" width="1.5703125" style="36" customWidth="1"/>
    <col min="10256" max="10256" width="11.42578125" style="36" customWidth="1"/>
    <col min="10257" max="10257" width="12.140625" style="36" customWidth="1"/>
    <col min="10258" max="10258" width="1.7109375" style="36" customWidth="1"/>
    <col min="10259" max="10259" width="13.5703125" style="36" customWidth="1"/>
    <col min="10260" max="10496" width="8.85546875" style="36"/>
    <col min="10497" max="10497" width="9.28515625" style="36" customWidth="1"/>
    <col min="10498" max="10498" width="1.7109375" style="36" customWidth="1"/>
    <col min="10499" max="10502" width="12" style="36" customWidth="1"/>
    <col min="10503" max="10503" width="11.85546875" style="36" customWidth="1"/>
    <col min="10504" max="10504" width="10.7109375" style="36" customWidth="1"/>
    <col min="10505" max="10505" width="10.5703125" style="36" customWidth="1"/>
    <col min="10506" max="10506" width="1.140625" style="36" customWidth="1"/>
    <col min="10507" max="10507" width="11.28515625" style="36" customWidth="1"/>
    <col min="10508" max="10508" width="12.7109375" style="36" customWidth="1"/>
    <col min="10509" max="10509" width="11.5703125" style="36" customWidth="1"/>
    <col min="10510" max="10510" width="12.42578125" style="36" customWidth="1"/>
    <col min="10511" max="10511" width="1.5703125" style="36" customWidth="1"/>
    <col min="10512" max="10512" width="11.42578125" style="36" customWidth="1"/>
    <col min="10513" max="10513" width="12.140625" style="36" customWidth="1"/>
    <col min="10514" max="10514" width="1.7109375" style="36" customWidth="1"/>
    <col min="10515" max="10515" width="13.5703125" style="36" customWidth="1"/>
    <col min="10516" max="10752" width="8.85546875" style="36"/>
    <col min="10753" max="10753" width="9.28515625" style="36" customWidth="1"/>
    <col min="10754" max="10754" width="1.7109375" style="36" customWidth="1"/>
    <col min="10755" max="10758" width="12" style="36" customWidth="1"/>
    <col min="10759" max="10759" width="11.85546875" style="36" customWidth="1"/>
    <col min="10760" max="10760" width="10.7109375" style="36" customWidth="1"/>
    <col min="10761" max="10761" width="10.5703125" style="36" customWidth="1"/>
    <col min="10762" max="10762" width="1.140625" style="36" customWidth="1"/>
    <col min="10763" max="10763" width="11.28515625" style="36" customWidth="1"/>
    <col min="10764" max="10764" width="12.7109375" style="36" customWidth="1"/>
    <col min="10765" max="10765" width="11.5703125" style="36" customWidth="1"/>
    <col min="10766" max="10766" width="12.42578125" style="36" customWidth="1"/>
    <col min="10767" max="10767" width="1.5703125" style="36" customWidth="1"/>
    <col min="10768" max="10768" width="11.42578125" style="36" customWidth="1"/>
    <col min="10769" max="10769" width="12.140625" style="36" customWidth="1"/>
    <col min="10770" max="10770" width="1.7109375" style="36" customWidth="1"/>
    <col min="10771" max="10771" width="13.5703125" style="36" customWidth="1"/>
    <col min="10772" max="11008" width="8.85546875" style="36"/>
    <col min="11009" max="11009" width="9.28515625" style="36" customWidth="1"/>
    <col min="11010" max="11010" width="1.7109375" style="36" customWidth="1"/>
    <col min="11011" max="11014" width="12" style="36" customWidth="1"/>
    <col min="11015" max="11015" width="11.85546875" style="36" customWidth="1"/>
    <col min="11016" max="11016" width="10.7109375" style="36" customWidth="1"/>
    <col min="11017" max="11017" width="10.5703125" style="36" customWidth="1"/>
    <col min="11018" max="11018" width="1.140625" style="36" customWidth="1"/>
    <col min="11019" max="11019" width="11.28515625" style="36" customWidth="1"/>
    <col min="11020" max="11020" width="12.7109375" style="36" customWidth="1"/>
    <col min="11021" max="11021" width="11.5703125" style="36" customWidth="1"/>
    <col min="11022" max="11022" width="12.42578125" style="36" customWidth="1"/>
    <col min="11023" max="11023" width="1.5703125" style="36" customWidth="1"/>
    <col min="11024" max="11024" width="11.42578125" style="36" customWidth="1"/>
    <col min="11025" max="11025" width="12.140625" style="36" customWidth="1"/>
    <col min="11026" max="11026" width="1.7109375" style="36" customWidth="1"/>
    <col min="11027" max="11027" width="13.5703125" style="36" customWidth="1"/>
    <col min="11028" max="11264" width="8.85546875" style="36"/>
    <col min="11265" max="11265" width="9.28515625" style="36" customWidth="1"/>
    <col min="11266" max="11266" width="1.7109375" style="36" customWidth="1"/>
    <col min="11267" max="11270" width="12" style="36" customWidth="1"/>
    <col min="11271" max="11271" width="11.85546875" style="36" customWidth="1"/>
    <col min="11272" max="11272" width="10.7109375" style="36" customWidth="1"/>
    <col min="11273" max="11273" width="10.5703125" style="36" customWidth="1"/>
    <col min="11274" max="11274" width="1.140625" style="36" customWidth="1"/>
    <col min="11275" max="11275" width="11.28515625" style="36" customWidth="1"/>
    <col min="11276" max="11276" width="12.7109375" style="36" customWidth="1"/>
    <col min="11277" max="11277" width="11.5703125" style="36" customWidth="1"/>
    <col min="11278" max="11278" width="12.42578125" style="36" customWidth="1"/>
    <col min="11279" max="11279" width="1.5703125" style="36" customWidth="1"/>
    <col min="11280" max="11280" width="11.42578125" style="36" customWidth="1"/>
    <col min="11281" max="11281" width="12.140625" style="36" customWidth="1"/>
    <col min="11282" max="11282" width="1.7109375" style="36" customWidth="1"/>
    <col min="11283" max="11283" width="13.5703125" style="36" customWidth="1"/>
    <col min="11284" max="11520" width="8.85546875" style="36"/>
    <col min="11521" max="11521" width="9.28515625" style="36" customWidth="1"/>
    <col min="11522" max="11522" width="1.7109375" style="36" customWidth="1"/>
    <col min="11523" max="11526" width="12" style="36" customWidth="1"/>
    <col min="11527" max="11527" width="11.85546875" style="36" customWidth="1"/>
    <col min="11528" max="11528" width="10.7109375" style="36" customWidth="1"/>
    <col min="11529" max="11529" width="10.5703125" style="36" customWidth="1"/>
    <col min="11530" max="11530" width="1.140625" style="36" customWidth="1"/>
    <col min="11531" max="11531" width="11.28515625" style="36" customWidth="1"/>
    <col min="11532" max="11532" width="12.7109375" style="36" customWidth="1"/>
    <col min="11533" max="11533" width="11.5703125" style="36" customWidth="1"/>
    <col min="11534" max="11534" width="12.42578125" style="36" customWidth="1"/>
    <col min="11535" max="11535" width="1.5703125" style="36" customWidth="1"/>
    <col min="11536" max="11536" width="11.42578125" style="36" customWidth="1"/>
    <col min="11537" max="11537" width="12.140625" style="36" customWidth="1"/>
    <col min="11538" max="11538" width="1.7109375" style="36" customWidth="1"/>
    <col min="11539" max="11539" width="13.5703125" style="36" customWidth="1"/>
    <col min="11540" max="11776" width="8.85546875" style="36"/>
    <col min="11777" max="11777" width="9.28515625" style="36" customWidth="1"/>
    <col min="11778" max="11778" width="1.7109375" style="36" customWidth="1"/>
    <col min="11779" max="11782" width="12" style="36" customWidth="1"/>
    <col min="11783" max="11783" width="11.85546875" style="36" customWidth="1"/>
    <col min="11784" max="11784" width="10.7109375" style="36" customWidth="1"/>
    <col min="11785" max="11785" width="10.5703125" style="36" customWidth="1"/>
    <col min="11786" max="11786" width="1.140625" style="36" customWidth="1"/>
    <col min="11787" max="11787" width="11.28515625" style="36" customWidth="1"/>
    <col min="11788" max="11788" width="12.7109375" style="36" customWidth="1"/>
    <col min="11789" max="11789" width="11.5703125" style="36" customWidth="1"/>
    <col min="11790" max="11790" width="12.42578125" style="36" customWidth="1"/>
    <col min="11791" max="11791" width="1.5703125" style="36" customWidth="1"/>
    <col min="11792" max="11792" width="11.42578125" style="36" customWidth="1"/>
    <col min="11793" max="11793" width="12.140625" style="36" customWidth="1"/>
    <col min="11794" max="11794" width="1.7109375" style="36" customWidth="1"/>
    <col min="11795" max="11795" width="13.5703125" style="36" customWidth="1"/>
    <col min="11796" max="12032" width="8.85546875" style="36"/>
    <col min="12033" max="12033" width="9.28515625" style="36" customWidth="1"/>
    <col min="12034" max="12034" width="1.7109375" style="36" customWidth="1"/>
    <col min="12035" max="12038" width="12" style="36" customWidth="1"/>
    <col min="12039" max="12039" width="11.85546875" style="36" customWidth="1"/>
    <col min="12040" max="12040" width="10.7109375" style="36" customWidth="1"/>
    <col min="12041" max="12041" width="10.5703125" style="36" customWidth="1"/>
    <col min="12042" max="12042" width="1.140625" style="36" customWidth="1"/>
    <col min="12043" max="12043" width="11.28515625" style="36" customWidth="1"/>
    <col min="12044" max="12044" width="12.7109375" style="36" customWidth="1"/>
    <col min="12045" max="12045" width="11.5703125" style="36" customWidth="1"/>
    <col min="12046" max="12046" width="12.42578125" style="36" customWidth="1"/>
    <col min="12047" max="12047" width="1.5703125" style="36" customWidth="1"/>
    <col min="12048" max="12048" width="11.42578125" style="36" customWidth="1"/>
    <col min="12049" max="12049" width="12.140625" style="36" customWidth="1"/>
    <col min="12050" max="12050" width="1.7109375" style="36" customWidth="1"/>
    <col min="12051" max="12051" width="13.5703125" style="36" customWidth="1"/>
    <col min="12052" max="12288" width="8.85546875" style="36"/>
    <col min="12289" max="12289" width="9.28515625" style="36" customWidth="1"/>
    <col min="12290" max="12290" width="1.7109375" style="36" customWidth="1"/>
    <col min="12291" max="12294" width="12" style="36" customWidth="1"/>
    <col min="12295" max="12295" width="11.85546875" style="36" customWidth="1"/>
    <col min="12296" max="12296" width="10.7109375" style="36" customWidth="1"/>
    <col min="12297" max="12297" width="10.5703125" style="36" customWidth="1"/>
    <col min="12298" max="12298" width="1.140625" style="36" customWidth="1"/>
    <col min="12299" max="12299" width="11.28515625" style="36" customWidth="1"/>
    <col min="12300" max="12300" width="12.7109375" style="36" customWidth="1"/>
    <col min="12301" max="12301" width="11.5703125" style="36" customWidth="1"/>
    <col min="12302" max="12302" width="12.42578125" style="36" customWidth="1"/>
    <col min="12303" max="12303" width="1.5703125" style="36" customWidth="1"/>
    <col min="12304" max="12304" width="11.42578125" style="36" customWidth="1"/>
    <col min="12305" max="12305" width="12.140625" style="36" customWidth="1"/>
    <col min="12306" max="12306" width="1.7109375" style="36" customWidth="1"/>
    <col min="12307" max="12307" width="13.5703125" style="36" customWidth="1"/>
    <col min="12308" max="12544" width="8.85546875" style="36"/>
    <col min="12545" max="12545" width="9.28515625" style="36" customWidth="1"/>
    <col min="12546" max="12546" width="1.7109375" style="36" customWidth="1"/>
    <col min="12547" max="12550" width="12" style="36" customWidth="1"/>
    <col min="12551" max="12551" width="11.85546875" style="36" customWidth="1"/>
    <col min="12552" max="12552" width="10.7109375" style="36" customWidth="1"/>
    <col min="12553" max="12553" width="10.5703125" style="36" customWidth="1"/>
    <col min="12554" max="12554" width="1.140625" style="36" customWidth="1"/>
    <col min="12555" max="12555" width="11.28515625" style="36" customWidth="1"/>
    <col min="12556" max="12556" width="12.7109375" style="36" customWidth="1"/>
    <col min="12557" max="12557" width="11.5703125" style="36" customWidth="1"/>
    <col min="12558" max="12558" width="12.42578125" style="36" customWidth="1"/>
    <col min="12559" max="12559" width="1.5703125" style="36" customWidth="1"/>
    <col min="12560" max="12560" width="11.42578125" style="36" customWidth="1"/>
    <col min="12561" max="12561" width="12.140625" style="36" customWidth="1"/>
    <col min="12562" max="12562" width="1.7109375" style="36" customWidth="1"/>
    <col min="12563" max="12563" width="13.5703125" style="36" customWidth="1"/>
    <col min="12564" max="12800" width="8.85546875" style="36"/>
    <col min="12801" max="12801" width="9.28515625" style="36" customWidth="1"/>
    <col min="12802" max="12802" width="1.7109375" style="36" customWidth="1"/>
    <col min="12803" max="12806" width="12" style="36" customWidth="1"/>
    <col min="12807" max="12807" width="11.85546875" style="36" customWidth="1"/>
    <col min="12808" max="12808" width="10.7109375" style="36" customWidth="1"/>
    <col min="12809" max="12809" width="10.5703125" style="36" customWidth="1"/>
    <col min="12810" max="12810" width="1.140625" style="36" customWidth="1"/>
    <col min="12811" max="12811" width="11.28515625" style="36" customWidth="1"/>
    <col min="12812" max="12812" width="12.7109375" style="36" customWidth="1"/>
    <col min="12813" max="12813" width="11.5703125" style="36" customWidth="1"/>
    <col min="12814" max="12814" width="12.42578125" style="36" customWidth="1"/>
    <col min="12815" max="12815" width="1.5703125" style="36" customWidth="1"/>
    <col min="12816" max="12816" width="11.42578125" style="36" customWidth="1"/>
    <col min="12817" max="12817" width="12.140625" style="36" customWidth="1"/>
    <col min="12818" max="12818" width="1.7109375" style="36" customWidth="1"/>
    <col min="12819" max="12819" width="13.5703125" style="36" customWidth="1"/>
    <col min="12820" max="13056" width="8.85546875" style="36"/>
    <col min="13057" max="13057" width="9.28515625" style="36" customWidth="1"/>
    <col min="13058" max="13058" width="1.7109375" style="36" customWidth="1"/>
    <col min="13059" max="13062" width="12" style="36" customWidth="1"/>
    <col min="13063" max="13063" width="11.85546875" style="36" customWidth="1"/>
    <col min="13064" max="13064" width="10.7109375" style="36" customWidth="1"/>
    <col min="13065" max="13065" width="10.5703125" style="36" customWidth="1"/>
    <col min="13066" max="13066" width="1.140625" style="36" customWidth="1"/>
    <col min="13067" max="13067" width="11.28515625" style="36" customWidth="1"/>
    <col min="13068" max="13068" width="12.7109375" style="36" customWidth="1"/>
    <col min="13069" max="13069" width="11.5703125" style="36" customWidth="1"/>
    <col min="13070" max="13070" width="12.42578125" style="36" customWidth="1"/>
    <col min="13071" max="13071" width="1.5703125" style="36" customWidth="1"/>
    <col min="13072" max="13072" width="11.42578125" style="36" customWidth="1"/>
    <col min="13073" max="13073" width="12.140625" style="36" customWidth="1"/>
    <col min="13074" max="13074" width="1.7109375" style="36" customWidth="1"/>
    <col min="13075" max="13075" width="13.5703125" style="36" customWidth="1"/>
    <col min="13076" max="13312" width="8.85546875" style="36"/>
    <col min="13313" max="13313" width="9.28515625" style="36" customWidth="1"/>
    <col min="13314" max="13314" width="1.7109375" style="36" customWidth="1"/>
    <col min="13315" max="13318" width="12" style="36" customWidth="1"/>
    <col min="13319" max="13319" width="11.85546875" style="36" customWidth="1"/>
    <col min="13320" max="13320" width="10.7109375" style="36" customWidth="1"/>
    <col min="13321" max="13321" width="10.5703125" style="36" customWidth="1"/>
    <col min="13322" max="13322" width="1.140625" style="36" customWidth="1"/>
    <col min="13323" max="13323" width="11.28515625" style="36" customWidth="1"/>
    <col min="13324" max="13324" width="12.7109375" style="36" customWidth="1"/>
    <col min="13325" max="13325" width="11.5703125" style="36" customWidth="1"/>
    <col min="13326" max="13326" width="12.42578125" style="36" customWidth="1"/>
    <col min="13327" max="13327" width="1.5703125" style="36" customWidth="1"/>
    <col min="13328" max="13328" width="11.42578125" style="36" customWidth="1"/>
    <col min="13329" max="13329" width="12.140625" style="36" customWidth="1"/>
    <col min="13330" max="13330" width="1.7109375" style="36" customWidth="1"/>
    <col min="13331" max="13331" width="13.5703125" style="36" customWidth="1"/>
    <col min="13332" max="13568" width="8.85546875" style="36"/>
    <col min="13569" max="13569" width="9.28515625" style="36" customWidth="1"/>
    <col min="13570" max="13570" width="1.7109375" style="36" customWidth="1"/>
    <col min="13571" max="13574" width="12" style="36" customWidth="1"/>
    <col min="13575" max="13575" width="11.85546875" style="36" customWidth="1"/>
    <col min="13576" max="13576" width="10.7109375" style="36" customWidth="1"/>
    <col min="13577" max="13577" width="10.5703125" style="36" customWidth="1"/>
    <col min="13578" max="13578" width="1.140625" style="36" customWidth="1"/>
    <col min="13579" max="13579" width="11.28515625" style="36" customWidth="1"/>
    <col min="13580" max="13580" width="12.7109375" style="36" customWidth="1"/>
    <col min="13581" max="13581" width="11.5703125" style="36" customWidth="1"/>
    <col min="13582" max="13582" width="12.42578125" style="36" customWidth="1"/>
    <col min="13583" max="13583" width="1.5703125" style="36" customWidth="1"/>
    <col min="13584" max="13584" width="11.42578125" style="36" customWidth="1"/>
    <col min="13585" max="13585" width="12.140625" style="36" customWidth="1"/>
    <col min="13586" max="13586" width="1.7109375" style="36" customWidth="1"/>
    <col min="13587" max="13587" width="13.5703125" style="36" customWidth="1"/>
    <col min="13588" max="13824" width="8.85546875" style="36"/>
    <col min="13825" max="13825" width="9.28515625" style="36" customWidth="1"/>
    <col min="13826" max="13826" width="1.7109375" style="36" customWidth="1"/>
    <col min="13827" max="13830" width="12" style="36" customWidth="1"/>
    <col min="13831" max="13831" width="11.85546875" style="36" customWidth="1"/>
    <col min="13832" max="13832" width="10.7109375" style="36" customWidth="1"/>
    <col min="13833" max="13833" width="10.5703125" style="36" customWidth="1"/>
    <col min="13834" max="13834" width="1.140625" style="36" customWidth="1"/>
    <col min="13835" max="13835" width="11.28515625" style="36" customWidth="1"/>
    <col min="13836" max="13836" width="12.7109375" style="36" customWidth="1"/>
    <col min="13837" max="13837" width="11.5703125" style="36" customWidth="1"/>
    <col min="13838" max="13838" width="12.42578125" style="36" customWidth="1"/>
    <col min="13839" max="13839" width="1.5703125" style="36" customWidth="1"/>
    <col min="13840" max="13840" width="11.42578125" style="36" customWidth="1"/>
    <col min="13841" max="13841" width="12.140625" style="36" customWidth="1"/>
    <col min="13842" max="13842" width="1.7109375" style="36" customWidth="1"/>
    <col min="13843" max="13843" width="13.5703125" style="36" customWidth="1"/>
    <col min="13844" max="14080" width="8.85546875" style="36"/>
    <col min="14081" max="14081" width="9.28515625" style="36" customWidth="1"/>
    <col min="14082" max="14082" width="1.7109375" style="36" customWidth="1"/>
    <col min="14083" max="14086" width="12" style="36" customWidth="1"/>
    <col min="14087" max="14087" width="11.85546875" style="36" customWidth="1"/>
    <col min="14088" max="14088" width="10.7109375" style="36" customWidth="1"/>
    <col min="14089" max="14089" width="10.5703125" style="36" customWidth="1"/>
    <col min="14090" max="14090" width="1.140625" style="36" customWidth="1"/>
    <col min="14091" max="14091" width="11.28515625" style="36" customWidth="1"/>
    <col min="14092" max="14092" width="12.7109375" style="36" customWidth="1"/>
    <col min="14093" max="14093" width="11.5703125" style="36" customWidth="1"/>
    <col min="14094" max="14094" width="12.42578125" style="36" customWidth="1"/>
    <col min="14095" max="14095" width="1.5703125" style="36" customWidth="1"/>
    <col min="14096" max="14096" width="11.42578125" style="36" customWidth="1"/>
    <col min="14097" max="14097" width="12.140625" style="36" customWidth="1"/>
    <col min="14098" max="14098" width="1.7109375" style="36" customWidth="1"/>
    <col min="14099" max="14099" width="13.5703125" style="36" customWidth="1"/>
    <col min="14100" max="14336" width="8.85546875" style="36"/>
    <col min="14337" max="14337" width="9.28515625" style="36" customWidth="1"/>
    <col min="14338" max="14338" width="1.7109375" style="36" customWidth="1"/>
    <col min="14339" max="14342" width="12" style="36" customWidth="1"/>
    <col min="14343" max="14343" width="11.85546875" style="36" customWidth="1"/>
    <col min="14344" max="14344" width="10.7109375" style="36" customWidth="1"/>
    <col min="14345" max="14345" width="10.5703125" style="36" customWidth="1"/>
    <col min="14346" max="14346" width="1.140625" style="36" customWidth="1"/>
    <col min="14347" max="14347" width="11.28515625" style="36" customWidth="1"/>
    <col min="14348" max="14348" width="12.7109375" style="36" customWidth="1"/>
    <col min="14349" max="14349" width="11.5703125" style="36" customWidth="1"/>
    <col min="14350" max="14350" width="12.42578125" style="36" customWidth="1"/>
    <col min="14351" max="14351" width="1.5703125" style="36" customWidth="1"/>
    <col min="14352" max="14352" width="11.42578125" style="36" customWidth="1"/>
    <col min="14353" max="14353" width="12.140625" style="36" customWidth="1"/>
    <col min="14354" max="14354" width="1.7109375" style="36" customWidth="1"/>
    <col min="14355" max="14355" width="13.5703125" style="36" customWidth="1"/>
    <col min="14356" max="14592" width="8.85546875" style="36"/>
    <col min="14593" max="14593" width="9.28515625" style="36" customWidth="1"/>
    <col min="14594" max="14594" width="1.7109375" style="36" customWidth="1"/>
    <col min="14595" max="14598" width="12" style="36" customWidth="1"/>
    <col min="14599" max="14599" width="11.85546875" style="36" customWidth="1"/>
    <col min="14600" max="14600" width="10.7109375" style="36" customWidth="1"/>
    <col min="14601" max="14601" width="10.5703125" style="36" customWidth="1"/>
    <col min="14602" max="14602" width="1.140625" style="36" customWidth="1"/>
    <col min="14603" max="14603" width="11.28515625" style="36" customWidth="1"/>
    <col min="14604" max="14604" width="12.7109375" style="36" customWidth="1"/>
    <col min="14605" max="14605" width="11.5703125" style="36" customWidth="1"/>
    <col min="14606" max="14606" width="12.42578125" style="36" customWidth="1"/>
    <col min="14607" max="14607" width="1.5703125" style="36" customWidth="1"/>
    <col min="14608" max="14608" width="11.42578125" style="36" customWidth="1"/>
    <col min="14609" max="14609" width="12.140625" style="36" customWidth="1"/>
    <col min="14610" max="14610" width="1.7109375" style="36" customWidth="1"/>
    <col min="14611" max="14611" width="13.5703125" style="36" customWidth="1"/>
    <col min="14612" max="14848" width="8.85546875" style="36"/>
    <col min="14849" max="14849" width="9.28515625" style="36" customWidth="1"/>
    <col min="14850" max="14850" width="1.7109375" style="36" customWidth="1"/>
    <col min="14851" max="14854" width="12" style="36" customWidth="1"/>
    <col min="14855" max="14855" width="11.85546875" style="36" customWidth="1"/>
    <col min="14856" max="14856" width="10.7109375" style="36" customWidth="1"/>
    <col min="14857" max="14857" width="10.5703125" style="36" customWidth="1"/>
    <col min="14858" max="14858" width="1.140625" style="36" customWidth="1"/>
    <col min="14859" max="14859" width="11.28515625" style="36" customWidth="1"/>
    <col min="14860" max="14860" width="12.7109375" style="36" customWidth="1"/>
    <col min="14861" max="14861" width="11.5703125" style="36" customWidth="1"/>
    <col min="14862" max="14862" width="12.42578125" style="36" customWidth="1"/>
    <col min="14863" max="14863" width="1.5703125" style="36" customWidth="1"/>
    <col min="14864" max="14864" width="11.42578125" style="36" customWidth="1"/>
    <col min="14865" max="14865" width="12.140625" style="36" customWidth="1"/>
    <col min="14866" max="14866" width="1.7109375" style="36" customWidth="1"/>
    <col min="14867" max="14867" width="13.5703125" style="36" customWidth="1"/>
    <col min="14868" max="15104" width="8.85546875" style="36"/>
    <col min="15105" max="15105" width="9.28515625" style="36" customWidth="1"/>
    <col min="15106" max="15106" width="1.7109375" style="36" customWidth="1"/>
    <col min="15107" max="15110" width="12" style="36" customWidth="1"/>
    <col min="15111" max="15111" width="11.85546875" style="36" customWidth="1"/>
    <col min="15112" max="15112" width="10.7109375" style="36" customWidth="1"/>
    <col min="15113" max="15113" width="10.5703125" style="36" customWidth="1"/>
    <col min="15114" max="15114" width="1.140625" style="36" customWidth="1"/>
    <col min="15115" max="15115" width="11.28515625" style="36" customWidth="1"/>
    <col min="15116" max="15116" width="12.7109375" style="36" customWidth="1"/>
    <col min="15117" max="15117" width="11.5703125" style="36" customWidth="1"/>
    <col min="15118" max="15118" width="12.42578125" style="36" customWidth="1"/>
    <col min="15119" max="15119" width="1.5703125" style="36" customWidth="1"/>
    <col min="15120" max="15120" width="11.42578125" style="36" customWidth="1"/>
    <col min="15121" max="15121" width="12.140625" style="36" customWidth="1"/>
    <col min="15122" max="15122" width="1.7109375" style="36" customWidth="1"/>
    <col min="15123" max="15123" width="13.5703125" style="36" customWidth="1"/>
    <col min="15124" max="15360" width="8.85546875" style="36"/>
    <col min="15361" max="15361" width="9.28515625" style="36" customWidth="1"/>
    <col min="15362" max="15362" width="1.7109375" style="36" customWidth="1"/>
    <col min="15363" max="15366" width="12" style="36" customWidth="1"/>
    <col min="15367" max="15367" width="11.85546875" style="36" customWidth="1"/>
    <col min="15368" max="15368" width="10.7109375" style="36" customWidth="1"/>
    <col min="15369" max="15369" width="10.5703125" style="36" customWidth="1"/>
    <col min="15370" max="15370" width="1.140625" style="36" customWidth="1"/>
    <col min="15371" max="15371" width="11.28515625" style="36" customWidth="1"/>
    <col min="15372" max="15372" width="12.7109375" style="36" customWidth="1"/>
    <col min="15373" max="15373" width="11.5703125" style="36" customWidth="1"/>
    <col min="15374" max="15374" width="12.42578125" style="36" customWidth="1"/>
    <col min="15375" max="15375" width="1.5703125" style="36" customWidth="1"/>
    <col min="15376" max="15376" width="11.42578125" style="36" customWidth="1"/>
    <col min="15377" max="15377" width="12.140625" style="36" customWidth="1"/>
    <col min="15378" max="15378" width="1.7109375" style="36" customWidth="1"/>
    <col min="15379" max="15379" width="13.5703125" style="36" customWidth="1"/>
    <col min="15380" max="15616" width="8.85546875" style="36"/>
    <col min="15617" max="15617" width="9.28515625" style="36" customWidth="1"/>
    <col min="15618" max="15618" width="1.7109375" style="36" customWidth="1"/>
    <col min="15619" max="15622" width="12" style="36" customWidth="1"/>
    <col min="15623" max="15623" width="11.85546875" style="36" customWidth="1"/>
    <col min="15624" max="15624" width="10.7109375" style="36" customWidth="1"/>
    <col min="15625" max="15625" width="10.5703125" style="36" customWidth="1"/>
    <col min="15626" max="15626" width="1.140625" style="36" customWidth="1"/>
    <col min="15627" max="15627" width="11.28515625" style="36" customWidth="1"/>
    <col min="15628" max="15628" width="12.7109375" style="36" customWidth="1"/>
    <col min="15629" max="15629" width="11.5703125" style="36" customWidth="1"/>
    <col min="15630" max="15630" width="12.42578125" style="36" customWidth="1"/>
    <col min="15631" max="15631" width="1.5703125" style="36" customWidth="1"/>
    <col min="15632" max="15632" width="11.42578125" style="36" customWidth="1"/>
    <col min="15633" max="15633" width="12.140625" style="36" customWidth="1"/>
    <col min="15634" max="15634" width="1.7109375" style="36" customWidth="1"/>
    <col min="15635" max="15635" width="13.5703125" style="36" customWidth="1"/>
    <col min="15636" max="15872" width="8.85546875" style="36"/>
    <col min="15873" max="15873" width="9.28515625" style="36" customWidth="1"/>
    <col min="15874" max="15874" width="1.7109375" style="36" customWidth="1"/>
    <col min="15875" max="15878" width="12" style="36" customWidth="1"/>
    <col min="15879" max="15879" width="11.85546875" style="36" customWidth="1"/>
    <col min="15880" max="15880" width="10.7109375" style="36" customWidth="1"/>
    <col min="15881" max="15881" width="10.5703125" style="36" customWidth="1"/>
    <col min="15882" max="15882" width="1.140625" style="36" customWidth="1"/>
    <col min="15883" max="15883" width="11.28515625" style="36" customWidth="1"/>
    <col min="15884" max="15884" width="12.7109375" style="36" customWidth="1"/>
    <col min="15885" max="15885" width="11.5703125" style="36" customWidth="1"/>
    <col min="15886" max="15886" width="12.42578125" style="36" customWidth="1"/>
    <col min="15887" max="15887" width="1.5703125" style="36" customWidth="1"/>
    <col min="15888" max="15888" width="11.42578125" style="36" customWidth="1"/>
    <col min="15889" max="15889" width="12.140625" style="36" customWidth="1"/>
    <col min="15890" max="15890" width="1.7109375" style="36" customWidth="1"/>
    <col min="15891" max="15891" width="13.5703125" style="36" customWidth="1"/>
    <col min="15892" max="16128" width="8.85546875" style="36"/>
    <col min="16129" max="16129" width="9.28515625" style="36" customWidth="1"/>
    <col min="16130" max="16130" width="1.7109375" style="36" customWidth="1"/>
    <col min="16131" max="16134" width="12" style="36" customWidth="1"/>
    <col min="16135" max="16135" width="11.85546875" style="36" customWidth="1"/>
    <col min="16136" max="16136" width="10.7109375" style="36" customWidth="1"/>
    <col min="16137" max="16137" width="10.5703125" style="36" customWidth="1"/>
    <col min="16138" max="16138" width="1.140625" style="36" customWidth="1"/>
    <col min="16139" max="16139" width="11.28515625" style="36" customWidth="1"/>
    <col min="16140" max="16140" width="12.7109375" style="36" customWidth="1"/>
    <col min="16141" max="16141" width="11.5703125" style="36" customWidth="1"/>
    <col min="16142" max="16142" width="12.42578125" style="36" customWidth="1"/>
    <col min="16143" max="16143" width="1.5703125" style="36" customWidth="1"/>
    <col min="16144" max="16144" width="11.42578125" style="36" customWidth="1"/>
    <col min="16145" max="16145" width="12.140625" style="36" customWidth="1"/>
    <col min="16146" max="16146" width="1.7109375" style="36" customWidth="1"/>
    <col min="16147" max="16147" width="13.5703125" style="36" customWidth="1"/>
    <col min="16148" max="16384" width="8.85546875" style="36"/>
  </cols>
  <sheetData>
    <row r="1" spans="1:19" ht="18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</row>
    <row r="2" spans="1:19" ht="15.75" x14ac:dyDescent="0.25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1:19" s="4" customFormat="1" ht="15.75" x14ac:dyDescent="0.25">
      <c r="A3" s="128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</row>
    <row r="4" spans="1:19" s="87" customFormat="1" ht="14.25" customHeight="1" x14ac:dyDescent="0.25">
      <c r="A4" s="129" t="s">
        <v>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19" s="87" customFormat="1" x14ac:dyDescent="0.25">
      <c r="A5" s="131" t="s">
        <v>4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</row>
    <row r="6" spans="1:19" s="4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9" s="4" customFormat="1" x14ac:dyDescent="0.25">
      <c r="A7" s="5"/>
      <c r="B7" s="5"/>
      <c r="C7" s="6"/>
      <c r="D7" s="6"/>
      <c r="E7" s="6"/>
      <c r="F7" s="6"/>
      <c r="G7" s="7"/>
      <c r="H7" s="8"/>
      <c r="I7" s="7"/>
      <c r="J7" s="7"/>
      <c r="K7" s="7"/>
      <c r="L7" s="7"/>
      <c r="M7" s="7"/>
      <c r="N7" s="7"/>
      <c r="O7" s="7"/>
      <c r="P7" s="7"/>
      <c r="Q7" s="7"/>
    </row>
    <row r="8" spans="1:19" s="88" customFormat="1" ht="14.25" customHeight="1" x14ac:dyDescent="0.25">
      <c r="A8" s="121" t="s">
        <v>67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3"/>
    </row>
    <row r="9" spans="1:19" s="4" customFormat="1" ht="9" customHeight="1" x14ac:dyDescent="0.25">
      <c r="A9" s="5"/>
      <c r="B9" s="5"/>
      <c r="C9" s="6"/>
      <c r="D9" s="6"/>
      <c r="E9" s="6"/>
      <c r="F9" s="6"/>
      <c r="G9" s="7"/>
      <c r="H9" s="8"/>
      <c r="I9" s="7"/>
      <c r="J9" s="7"/>
      <c r="K9" s="7"/>
      <c r="L9" s="7"/>
      <c r="M9" s="7"/>
      <c r="N9" s="7"/>
      <c r="O9" s="7"/>
      <c r="P9" s="7"/>
      <c r="Q9" s="7"/>
    </row>
    <row r="10" spans="1:19" s="14" customFormat="1" ht="12.75" x14ac:dyDescent="0.2">
      <c r="A10" s="10"/>
      <c r="B10" s="10"/>
      <c r="C10" s="118" t="s">
        <v>6</v>
      </c>
      <c r="D10" s="119"/>
      <c r="E10" s="119"/>
      <c r="F10" s="119"/>
      <c r="G10" s="119"/>
      <c r="H10" s="119"/>
      <c r="I10" s="120"/>
      <c r="J10" s="12"/>
      <c r="K10" s="118" t="s">
        <v>7</v>
      </c>
      <c r="L10" s="119"/>
      <c r="M10" s="119"/>
      <c r="N10" s="120"/>
      <c r="O10" s="13"/>
      <c r="P10" s="118" t="s">
        <v>8</v>
      </c>
      <c r="Q10" s="120"/>
    </row>
    <row r="11" spans="1:19" s="20" customFormat="1" ht="12" x14ac:dyDescent="0.2">
      <c r="A11" s="16"/>
      <c r="B11" s="16"/>
      <c r="C11" s="17"/>
      <c r="D11" s="18" t="s">
        <v>9</v>
      </c>
      <c r="E11" s="17"/>
      <c r="F11" s="17"/>
      <c r="G11" s="18" t="s">
        <v>11</v>
      </c>
      <c r="H11" s="19" t="s">
        <v>10</v>
      </c>
      <c r="I11" s="17"/>
      <c r="J11" s="17"/>
      <c r="K11" s="18" t="s">
        <v>11</v>
      </c>
      <c r="L11" s="18"/>
      <c r="M11" s="18" t="s">
        <v>9</v>
      </c>
      <c r="N11" s="18" t="s">
        <v>11</v>
      </c>
      <c r="P11" s="18" t="s">
        <v>11</v>
      </c>
      <c r="Q11" s="18" t="s">
        <v>11</v>
      </c>
      <c r="S11" s="18" t="s">
        <v>11</v>
      </c>
    </row>
    <row r="12" spans="1:19" s="24" customFormat="1" ht="12" x14ac:dyDescent="0.2">
      <c r="A12" s="22"/>
      <c r="B12" s="22"/>
      <c r="C12" s="18" t="s">
        <v>12</v>
      </c>
      <c r="D12" s="23" t="s">
        <v>13</v>
      </c>
      <c r="E12" s="18" t="s">
        <v>12</v>
      </c>
      <c r="F12" s="18" t="s">
        <v>63</v>
      </c>
      <c r="G12" s="18" t="s">
        <v>14</v>
      </c>
      <c r="H12" s="19" t="s">
        <v>15</v>
      </c>
      <c r="I12" s="18" t="s">
        <v>16</v>
      </c>
      <c r="J12" s="18"/>
      <c r="K12" s="24" t="s">
        <v>10</v>
      </c>
      <c r="L12" s="18" t="s">
        <v>17</v>
      </c>
      <c r="M12" s="18" t="s">
        <v>17</v>
      </c>
      <c r="N12" s="18" t="s">
        <v>17</v>
      </c>
      <c r="P12" s="24" t="s">
        <v>10</v>
      </c>
      <c r="Q12" s="18" t="s">
        <v>18</v>
      </c>
      <c r="S12" s="18" t="s">
        <v>11</v>
      </c>
    </row>
    <row r="13" spans="1:19" s="24" customFormat="1" ht="12" x14ac:dyDescent="0.2">
      <c r="A13" s="26" t="s">
        <v>19</v>
      </c>
      <c r="B13" s="26"/>
      <c r="C13" s="27" t="s">
        <v>20</v>
      </c>
      <c r="D13" s="27" t="s">
        <v>12</v>
      </c>
      <c r="E13" s="27" t="s">
        <v>21</v>
      </c>
      <c r="F13" s="27" t="s">
        <v>64</v>
      </c>
      <c r="G13" s="27" t="s">
        <v>22</v>
      </c>
      <c r="H13" s="28" t="s">
        <v>23</v>
      </c>
      <c r="I13" s="27" t="s">
        <v>24</v>
      </c>
      <c r="J13" s="23"/>
      <c r="K13" s="27" t="s">
        <v>25</v>
      </c>
      <c r="L13" s="27" t="s">
        <v>26</v>
      </c>
      <c r="M13" s="27" t="s">
        <v>12</v>
      </c>
      <c r="N13" s="27" t="s">
        <v>22</v>
      </c>
      <c r="O13" s="29"/>
      <c r="P13" s="27" t="s">
        <v>8</v>
      </c>
      <c r="Q13" s="27" t="s">
        <v>22</v>
      </c>
      <c r="S13" s="27" t="s">
        <v>27</v>
      </c>
    </row>
    <row r="14" spans="1:19" x14ac:dyDescent="0.25">
      <c r="A14" s="5">
        <v>42461</v>
      </c>
      <c r="K14" s="35"/>
      <c r="P14" s="35"/>
    </row>
    <row r="15" spans="1:19" x14ac:dyDescent="0.25">
      <c r="A15" s="5">
        <v>42491</v>
      </c>
      <c r="K15" s="35"/>
      <c r="P15" s="35"/>
    </row>
    <row r="16" spans="1:19" x14ac:dyDescent="0.25">
      <c r="A16" s="5">
        <v>42522</v>
      </c>
      <c r="K16" s="35"/>
      <c r="P16" s="35"/>
    </row>
    <row r="17" spans="1:19" x14ac:dyDescent="0.25">
      <c r="A17" s="5">
        <v>42552</v>
      </c>
      <c r="K17" s="35"/>
      <c r="P17" s="35"/>
    </row>
    <row r="18" spans="1:19" x14ac:dyDescent="0.25">
      <c r="A18" s="5">
        <v>42583</v>
      </c>
      <c r="K18" s="35"/>
      <c r="P18" s="35"/>
    </row>
    <row r="19" spans="1:19" x14ac:dyDescent="0.25">
      <c r="A19" s="5">
        <v>42614</v>
      </c>
      <c r="K19" s="35"/>
      <c r="P19" s="35"/>
    </row>
    <row r="20" spans="1:19" x14ac:dyDescent="0.25">
      <c r="A20" s="5">
        <v>42644</v>
      </c>
      <c r="K20" s="35"/>
      <c r="P20" s="35"/>
    </row>
    <row r="21" spans="1:19" x14ac:dyDescent="0.25">
      <c r="A21" s="5">
        <v>42675</v>
      </c>
      <c r="C21" s="30"/>
      <c r="K21" s="35"/>
      <c r="P21" s="35"/>
    </row>
    <row r="22" spans="1:19" x14ac:dyDescent="0.25">
      <c r="A22" s="5">
        <v>42705</v>
      </c>
      <c r="C22" s="30"/>
      <c r="D22" s="30"/>
      <c r="E22" s="30"/>
      <c r="F22" s="30"/>
      <c r="G22" s="30"/>
      <c r="H22" s="31"/>
      <c r="I22" s="30"/>
      <c r="J22" s="30"/>
      <c r="K22" s="31"/>
      <c r="L22" s="30"/>
      <c r="M22" s="30"/>
      <c r="N22" s="30"/>
      <c r="O22" s="30"/>
      <c r="P22" s="31"/>
      <c r="Q22" s="30"/>
      <c r="R22" s="30"/>
      <c r="S22" s="30"/>
    </row>
    <row r="23" spans="1:19" x14ac:dyDescent="0.25">
      <c r="A23" s="5">
        <v>42736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</row>
    <row r="24" spans="1:19" x14ac:dyDescent="0.25">
      <c r="A24" s="5">
        <v>42767</v>
      </c>
      <c r="C24" s="30">
        <v>82999525.809999987</v>
      </c>
      <c r="D24" s="30">
        <v>271577.04000000004</v>
      </c>
      <c r="E24" s="30">
        <v>74574210.580000013</v>
      </c>
      <c r="F24" s="30">
        <v>0</v>
      </c>
      <c r="G24" s="30">
        <v>8153738.1900000004</v>
      </c>
      <c r="H24" s="95">
        <v>1150</v>
      </c>
      <c r="I24" s="30">
        <v>322.2821418972332</v>
      </c>
      <c r="J24" s="94"/>
      <c r="K24" s="94">
        <v>67</v>
      </c>
      <c r="L24" s="30">
        <v>16808153.149999999</v>
      </c>
      <c r="M24" s="30">
        <v>0</v>
      </c>
      <c r="N24" s="30">
        <v>2443531.3000000003</v>
      </c>
      <c r="O24" s="94"/>
      <c r="P24" s="94">
        <v>15</v>
      </c>
      <c r="Q24" s="30">
        <v>478349</v>
      </c>
      <c r="R24" s="94"/>
      <c r="S24" s="30">
        <v>11075618.49</v>
      </c>
    </row>
    <row r="25" spans="1:19" x14ac:dyDescent="0.25">
      <c r="A25" s="5">
        <v>42795</v>
      </c>
      <c r="C25" s="30">
        <v>86754149.329999998</v>
      </c>
      <c r="D25" s="30">
        <v>626047.32999999996</v>
      </c>
      <c r="E25" s="30">
        <v>78078670.030000001</v>
      </c>
      <c r="F25" s="30">
        <v>0</v>
      </c>
      <c r="G25" s="30">
        <v>8049431.9700000025</v>
      </c>
      <c r="H25" s="95">
        <v>1150</v>
      </c>
      <c r="I25" s="30">
        <v>225.79051809256669</v>
      </c>
      <c r="J25" s="37"/>
      <c r="K25" s="37">
        <v>67</v>
      </c>
      <c r="L25" s="30">
        <v>23865241</v>
      </c>
      <c r="M25" s="30">
        <v>0</v>
      </c>
      <c r="N25" s="30">
        <v>4923259.5</v>
      </c>
      <c r="O25" s="96"/>
      <c r="P25" s="37">
        <v>15</v>
      </c>
      <c r="Q25" s="30">
        <v>620999</v>
      </c>
      <c r="R25" s="37"/>
      <c r="S25" s="30">
        <v>13593690.470000003</v>
      </c>
    </row>
    <row r="26" spans="1:19" ht="15.75" thickBot="1" x14ac:dyDescent="0.3">
      <c r="A26" s="5" t="s">
        <v>28</v>
      </c>
      <c r="C26" s="39">
        <f>SUM(C22:C25)</f>
        <v>169753675.13999999</v>
      </c>
      <c r="D26" s="39">
        <f>SUM(D22:D25)</f>
        <v>897624.37</v>
      </c>
      <c r="E26" s="39">
        <f>SUM(E22:E25)</f>
        <v>152652880.61000001</v>
      </c>
      <c r="F26" s="39">
        <f>SUM(F22:F25)</f>
        <v>0</v>
      </c>
      <c r="G26" s="39">
        <f>SUM(G22:G25)</f>
        <v>16203170.160000004</v>
      </c>
      <c r="H26" s="40">
        <v>1150</v>
      </c>
      <c r="I26" s="39">
        <f>G26/H26/53</f>
        <v>265.84364495488109</v>
      </c>
      <c r="J26" s="30"/>
      <c r="K26" s="43">
        <v>67</v>
      </c>
      <c r="L26" s="39">
        <f>SUM(L22:L25)</f>
        <v>40673394.149999999</v>
      </c>
      <c r="M26" s="39">
        <f>SUM(M22:M25)</f>
        <v>0</v>
      </c>
      <c r="N26" s="39">
        <f>SUM(N22:N25)</f>
        <v>7366790.8000000007</v>
      </c>
      <c r="O26" s="44"/>
      <c r="P26" s="43">
        <v>15</v>
      </c>
      <c r="Q26" s="39">
        <f>SUM(Q22:Q25)</f>
        <v>1099348</v>
      </c>
      <c r="R26" s="44"/>
      <c r="S26" s="39">
        <f>SUM(S22:S25)</f>
        <v>24669308.960000001</v>
      </c>
    </row>
    <row r="27" spans="1:19" ht="10.5" customHeight="1" thickTop="1" x14ac:dyDescent="0.25">
      <c r="C27" s="46"/>
      <c r="D27" s="46"/>
      <c r="E27" s="46"/>
      <c r="F27" s="46"/>
      <c r="G27" s="46"/>
      <c r="K27" s="47"/>
      <c r="L27" s="46"/>
      <c r="M27" s="46"/>
      <c r="N27" s="46"/>
      <c r="O27" s="46"/>
      <c r="P27" s="47"/>
      <c r="Q27" s="46"/>
    </row>
    <row r="28" spans="1:19" s="51" customFormat="1" x14ac:dyDescent="0.25">
      <c r="A28" s="48"/>
      <c r="B28" s="48"/>
      <c r="C28" s="49"/>
      <c r="D28" s="50">
        <f>D26/$C$26</f>
        <v>5.2878052228307127E-3</v>
      </c>
      <c r="E28" s="50">
        <f>E26/$C$26</f>
        <v>0.89926112341369613</v>
      </c>
      <c r="F28" s="50">
        <f>F26/$C$26</f>
        <v>0</v>
      </c>
      <c r="G28" s="49">
        <f>G26/$C$26</f>
        <v>9.5451071363473305E-2</v>
      </c>
      <c r="K28" s="49"/>
      <c r="L28" s="49"/>
      <c r="M28" s="49"/>
      <c r="N28" s="49">
        <f>N26/$L$26</f>
        <v>0.18112063067153694</v>
      </c>
      <c r="O28" s="49"/>
      <c r="P28" s="49"/>
      <c r="Q28" s="49"/>
    </row>
    <row r="29" spans="1:19" s="51" customFormat="1" x14ac:dyDescent="0.25">
      <c r="A29" s="48"/>
      <c r="B29" s="48"/>
      <c r="C29" s="49"/>
      <c r="D29" s="49"/>
      <c r="E29" s="49"/>
      <c r="F29" s="49"/>
      <c r="G29" s="49"/>
      <c r="K29" s="49"/>
      <c r="L29" s="49"/>
      <c r="M29" s="49"/>
      <c r="N29" s="49"/>
      <c r="O29" s="49"/>
      <c r="P29" s="49"/>
      <c r="Q29" s="49"/>
    </row>
    <row r="30" spans="1:19" s="51" customFormat="1" x14ac:dyDescent="0.25">
      <c r="A30" s="121" t="s">
        <v>29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3"/>
    </row>
    <row r="31" spans="1:19" s="54" customFormat="1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1:19" s="54" customFormat="1" x14ac:dyDescent="0.25">
      <c r="A32" s="53"/>
      <c r="B32" s="53"/>
      <c r="C32" s="53"/>
      <c r="D32" s="53"/>
      <c r="E32" s="53"/>
      <c r="F32" s="53"/>
      <c r="G32" s="124" t="s">
        <v>30</v>
      </c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6"/>
    </row>
    <row r="33" spans="1:20" s="55" customFormat="1" ht="12" x14ac:dyDescent="0.2">
      <c r="G33" s="56" t="s">
        <v>32</v>
      </c>
      <c r="H33" s="56" t="s">
        <v>33</v>
      </c>
      <c r="I33" s="56" t="s">
        <v>34</v>
      </c>
      <c r="J33" s="57"/>
      <c r="K33" s="57"/>
      <c r="L33" s="58"/>
      <c r="M33" s="58"/>
      <c r="N33" s="58"/>
      <c r="O33" s="58"/>
      <c r="P33" s="58"/>
      <c r="Q33" s="59"/>
    </row>
    <row r="34" spans="1:20" s="55" customFormat="1" ht="12.75" customHeight="1" x14ac:dyDescent="0.2">
      <c r="D34" s="18"/>
      <c r="E34" s="55" t="s">
        <v>11</v>
      </c>
      <c r="G34" s="56" t="s">
        <v>38</v>
      </c>
      <c r="H34" s="56" t="s">
        <v>39</v>
      </c>
      <c r="I34" s="56" t="s">
        <v>40</v>
      </c>
      <c r="J34" s="57"/>
      <c r="K34" s="116" t="s">
        <v>41</v>
      </c>
      <c r="L34" s="116"/>
      <c r="M34" s="116"/>
      <c r="N34" s="116"/>
      <c r="O34" s="116"/>
      <c r="P34" s="116"/>
      <c r="Q34" s="116"/>
      <c r="R34" s="116"/>
      <c r="S34" s="116"/>
    </row>
    <row r="35" spans="1:20" s="55" customFormat="1" ht="12" x14ac:dyDescent="0.2">
      <c r="C35" s="27" t="s">
        <v>27</v>
      </c>
      <c r="D35" s="27" t="s">
        <v>68</v>
      </c>
      <c r="E35" s="61" t="s">
        <v>43</v>
      </c>
      <c r="F35" s="59"/>
      <c r="G35" s="62" t="s">
        <v>46</v>
      </c>
      <c r="H35" s="62" t="s">
        <v>40</v>
      </c>
      <c r="I35" s="62" t="s">
        <v>47</v>
      </c>
      <c r="J35" s="63"/>
      <c r="K35" s="63" t="s">
        <v>48</v>
      </c>
      <c r="L35" s="63" t="s">
        <v>49</v>
      </c>
      <c r="M35" s="63" t="s">
        <v>50</v>
      </c>
      <c r="N35" s="63" t="s">
        <v>51</v>
      </c>
      <c r="O35" s="64"/>
      <c r="P35" s="63" t="s">
        <v>52</v>
      </c>
      <c r="Q35" s="65" t="s">
        <v>53</v>
      </c>
      <c r="R35" s="65"/>
      <c r="S35" s="65" t="s">
        <v>54</v>
      </c>
    </row>
    <row r="36" spans="1:20" s="51" customFormat="1" x14ac:dyDescent="0.25">
      <c r="A36" s="5">
        <v>42461</v>
      </c>
      <c r="B36" s="48"/>
      <c r="C36" s="32"/>
      <c r="D36" s="49"/>
      <c r="G36" s="49"/>
      <c r="H36" s="49"/>
      <c r="K36" s="49"/>
      <c r="L36" s="49"/>
      <c r="M36" s="49"/>
      <c r="N36" s="49"/>
      <c r="O36" s="97"/>
      <c r="P36" s="49"/>
    </row>
    <row r="37" spans="1:20" s="51" customFormat="1" x14ac:dyDescent="0.25">
      <c r="A37" s="5">
        <v>42491</v>
      </c>
      <c r="B37" s="48"/>
      <c r="C37" s="46"/>
      <c r="D37" s="46"/>
      <c r="G37" s="46"/>
      <c r="H37" s="46"/>
      <c r="I37" s="32"/>
      <c r="J37" s="32"/>
      <c r="K37" s="46"/>
      <c r="L37" s="46"/>
      <c r="M37" s="46"/>
      <c r="N37" s="46"/>
      <c r="P37" s="46"/>
      <c r="R37" s="32"/>
      <c r="S37" s="32"/>
    </row>
    <row r="38" spans="1:20" s="51" customFormat="1" x14ac:dyDescent="0.25">
      <c r="A38" s="5">
        <v>42522</v>
      </c>
      <c r="B38" s="48"/>
      <c r="C38" s="46"/>
      <c r="D38" s="46"/>
      <c r="G38" s="46"/>
      <c r="H38" s="46"/>
      <c r="I38" s="32"/>
      <c r="J38" s="32"/>
      <c r="K38" s="46"/>
      <c r="L38" s="46"/>
      <c r="M38" s="46"/>
      <c r="N38" s="46"/>
      <c r="P38" s="46"/>
      <c r="R38" s="32"/>
      <c r="S38" s="32"/>
    </row>
    <row r="39" spans="1:20" s="51" customFormat="1" x14ac:dyDescent="0.25">
      <c r="A39" s="5">
        <v>42552</v>
      </c>
      <c r="B39" s="48"/>
      <c r="C39" s="46"/>
      <c r="D39" s="46"/>
      <c r="G39" s="46"/>
      <c r="H39" s="46"/>
      <c r="I39" s="32"/>
      <c r="J39" s="32"/>
      <c r="K39" s="46"/>
      <c r="L39" s="46"/>
      <c r="M39" s="46"/>
      <c r="N39" s="46"/>
      <c r="P39" s="46"/>
      <c r="R39" s="32"/>
      <c r="S39" s="32"/>
    </row>
    <row r="40" spans="1:20" s="51" customFormat="1" x14ac:dyDescent="0.25">
      <c r="A40" s="5">
        <v>42583</v>
      </c>
      <c r="B40" s="48"/>
      <c r="C40" s="46"/>
      <c r="D40" s="46"/>
      <c r="G40" s="46"/>
      <c r="H40" s="46"/>
      <c r="I40" s="32"/>
      <c r="J40" s="32"/>
      <c r="K40" s="46"/>
      <c r="L40" s="46"/>
      <c r="M40" s="46"/>
      <c r="N40" s="46"/>
      <c r="P40" s="46"/>
      <c r="R40" s="32"/>
      <c r="S40" s="32"/>
      <c r="T40" s="35"/>
    </row>
    <row r="41" spans="1:20" s="51" customFormat="1" x14ac:dyDescent="0.25">
      <c r="A41" s="5">
        <v>42614</v>
      </c>
      <c r="B41" s="48"/>
      <c r="C41" s="46"/>
      <c r="D41" s="46"/>
      <c r="G41" s="46"/>
      <c r="H41" s="46"/>
      <c r="I41" s="32"/>
      <c r="J41" s="32"/>
      <c r="K41" s="46"/>
      <c r="L41" s="46"/>
      <c r="M41" s="46"/>
      <c r="N41" s="46"/>
      <c r="P41" s="46"/>
      <c r="R41" s="32"/>
      <c r="S41" s="32"/>
    </row>
    <row r="42" spans="1:20" s="51" customFormat="1" x14ac:dyDescent="0.25">
      <c r="A42" s="5">
        <v>42644</v>
      </c>
      <c r="B42" s="48"/>
      <c r="C42" s="46"/>
      <c r="D42" s="46"/>
      <c r="G42" s="46"/>
      <c r="H42" s="46"/>
      <c r="I42" s="32"/>
      <c r="J42" s="32"/>
      <c r="K42" s="46"/>
      <c r="L42" s="46"/>
      <c r="M42" s="46"/>
      <c r="N42" s="46"/>
      <c r="P42" s="46"/>
      <c r="R42" s="32"/>
      <c r="S42" s="32"/>
    </row>
    <row r="43" spans="1:20" s="51" customFormat="1" x14ac:dyDescent="0.25">
      <c r="A43" s="5">
        <v>42675</v>
      </c>
      <c r="B43" s="48"/>
      <c r="C43" s="46"/>
      <c r="D43" s="46"/>
      <c r="G43" s="46"/>
      <c r="H43" s="46"/>
      <c r="I43" s="32"/>
      <c r="J43" s="32"/>
      <c r="K43" s="46"/>
      <c r="L43" s="46"/>
      <c r="M43" s="46"/>
      <c r="N43" s="46"/>
      <c r="P43" s="46"/>
      <c r="R43" s="32"/>
      <c r="S43" s="32"/>
    </row>
    <row r="44" spans="1:20" s="51" customFormat="1" x14ac:dyDescent="0.25">
      <c r="A44" s="5">
        <v>42705</v>
      </c>
      <c r="B44" s="48"/>
      <c r="C44" s="98">
        <f>S22</f>
        <v>0</v>
      </c>
      <c r="D44" s="98">
        <f>(G22*0.55)+(N22+Q22)*0.9</f>
        <v>0</v>
      </c>
      <c r="E44" s="98">
        <f>(G22*0.45)+(N22+Q22)*0.1</f>
        <v>0</v>
      </c>
      <c r="F44" s="98"/>
      <c r="G44" s="98">
        <f>G22*0.45*0.8+(N22+Q22)*0.1*0.8</f>
        <v>0</v>
      </c>
      <c r="H44" s="98">
        <f>G22*0.45*0.05+(N22+Q22)*0.1*0.05</f>
        <v>0</v>
      </c>
      <c r="I44" s="98">
        <f>G22*0.45*0.05+(N22+N22)*0.1*0.05</f>
        <v>0</v>
      </c>
      <c r="J44" s="94"/>
      <c r="K44" s="98">
        <f>(G22*0.45*0.1+(N22+Q22)*0.1*0.1)*304204/844955</f>
        <v>0</v>
      </c>
      <c r="L44" s="98">
        <f>(G22*0.45*0.1+(N22+Q22)*0.1*0.1)*55531/884955</f>
        <v>0</v>
      </c>
      <c r="M44" s="98">
        <f>(G22*0.45*0.1+(N22+Q22)*0.1*0.1)*50219/884955</f>
        <v>0</v>
      </c>
      <c r="N44" s="98">
        <f>(G22*0.45*0.1+(N22+Q22)*0.1*0.1)*159429/884955</f>
        <v>0</v>
      </c>
      <c r="O44" s="94"/>
      <c r="P44" s="98">
        <f>(G22*0.45*0.1+(N22+Q22)*0.1*0.1)*219607/884955</f>
        <v>0</v>
      </c>
      <c r="Q44" s="98">
        <f>(G22*0.45*0.1+(N22+Q22)*0.1*0.1)*32749/884955</f>
        <v>0</v>
      </c>
      <c r="R44" s="32"/>
      <c r="S44" s="98">
        <f>(G22*0.45*0.1+(N22+Q22)*0.1*0.1)*63216/884955</f>
        <v>0</v>
      </c>
    </row>
    <row r="45" spans="1:20" s="51" customFormat="1" x14ac:dyDescent="0.25">
      <c r="A45" s="5">
        <v>42736</v>
      </c>
      <c r="B45" s="48"/>
      <c r="C45" s="98">
        <f>S23</f>
        <v>0</v>
      </c>
      <c r="D45" s="98">
        <f>(G23*0.55)+(N23+Q23)*0.9</f>
        <v>0</v>
      </c>
      <c r="E45" s="98">
        <f>(G23*0.45)+(N23+Q23)*0.1</f>
        <v>0</v>
      </c>
      <c r="F45" s="94"/>
      <c r="G45" s="98">
        <f>G23*0.45*0.8+(N23+Q23)*0.1*0.8</f>
        <v>0</v>
      </c>
      <c r="H45" s="98">
        <f>G23*0.45*0.05+(N23+Q23)*0.1*0.05</f>
        <v>0</v>
      </c>
      <c r="I45" s="98">
        <f>G23*0.45*0.05+(N23+N23)*0.1*0.05</f>
        <v>0</v>
      </c>
      <c r="J45" s="94"/>
      <c r="K45" s="98">
        <f>(G23*0.45*0.1+(N23+Q23)*0.1*0.1)*304204/844955</f>
        <v>0</v>
      </c>
      <c r="L45" s="98">
        <f>(G23*0.45*0.1+(N23+Q23)*0.1*0.1)*55531/884955</f>
        <v>0</v>
      </c>
      <c r="M45" s="98">
        <f>(G23*0.45*0.1+(N23+Q23)*0.1*0.1)*50219/884955</f>
        <v>0</v>
      </c>
      <c r="N45" s="98">
        <f>(G23*0.45*0.1+(N23+Q23)*0.1*0.1)*159429/884955</f>
        <v>0</v>
      </c>
      <c r="O45" s="94"/>
      <c r="P45" s="98">
        <f>(G23*0.45*0.1+(N23+Q23)*0.1*0.1)*219607/884955</f>
        <v>0</v>
      </c>
      <c r="Q45" s="98">
        <f>(G23*0.45*0.1+(N23+Q23)*0.1*0.1)*32749/884955</f>
        <v>0</v>
      </c>
      <c r="R45" s="32"/>
      <c r="S45" s="98">
        <f>(G23*0.45*0.1+(N23+Q23)*0.1*0.1)*63216/884955</f>
        <v>0</v>
      </c>
    </row>
    <row r="46" spans="1:20" s="51" customFormat="1" x14ac:dyDescent="0.25">
      <c r="A46" s="5">
        <v>42767</v>
      </c>
      <c r="B46" s="48"/>
      <c r="C46" s="44">
        <v>11075618.49</v>
      </c>
      <c r="D46" s="44">
        <v>7114248.2745000012</v>
      </c>
      <c r="E46" s="44">
        <v>3961370.2154999999</v>
      </c>
      <c r="F46" s="30"/>
      <c r="G46" s="44">
        <v>3169096.1724000005</v>
      </c>
      <c r="H46" s="44">
        <v>198068.51077500003</v>
      </c>
      <c r="I46" s="44">
        <v>198068.51077500003</v>
      </c>
      <c r="J46" s="30"/>
      <c r="K46" s="44">
        <v>136172.4228956232</v>
      </c>
      <c r="L46" s="44">
        <v>24857.6311153596</v>
      </c>
      <c r="M46" s="44">
        <v>22479.792854121908</v>
      </c>
      <c r="N46" s="44">
        <v>71366.034666954773</v>
      </c>
      <c r="O46" s="30"/>
      <c r="P46" s="44">
        <v>98303.826625682515</v>
      </c>
      <c r="Q46" s="44">
        <v>14659.605650842079</v>
      </c>
      <c r="R46" s="30"/>
      <c r="S46" s="44">
        <v>28297.707741416012</v>
      </c>
    </row>
    <row r="47" spans="1:20" s="51" customFormat="1" x14ac:dyDescent="0.25">
      <c r="A47" s="5">
        <v>42795</v>
      </c>
      <c r="B47" s="48"/>
      <c r="C47" s="44">
        <v>13593690.470000003</v>
      </c>
      <c r="D47" s="44">
        <v>9417020.233500002</v>
      </c>
      <c r="E47" s="44">
        <v>4176670.2365000015</v>
      </c>
      <c r="F47" s="30"/>
      <c r="G47" s="44">
        <v>3341336.1892000013</v>
      </c>
      <c r="H47" s="44">
        <v>208833.51182500008</v>
      </c>
      <c r="I47" s="44">
        <v>208833.51182500008</v>
      </c>
      <c r="J47" s="30"/>
      <c r="K47" s="44">
        <v>143573.37860391167</v>
      </c>
      <c r="L47" s="44">
        <v>26208.64054139268</v>
      </c>
      <c r="M47" s="44">
        <v>23701.567040899659</v>
      </c>
      <c r="N47" s="44">
        <v>75244.770540305297</v>
      </c>
      <c r="O47" s="30"/>
      <c r="P47" s="44">
        <v>103646.62843049147</v>
      </c>
      <c r="Q47" s="44">
        <v>15456.353551891176</v>
      </c>
      <c r="R47" s="30"/>
      <c r="S47" s="44">
        <v>29835.684941108204</v>
      </c>
    </row>
    <row r="48" spans="1:20" s="51" customFormat="1" ht="15.75" thickBot="1" x14ac:dyDescent="0.3">
      <c r="A48" s="5" t="s">
        <v>28</v>
      </c>
      <c r="B48" s="48"/>
      <c r="C48" s="69">
        <f>SUM(C36:C47)</f>
        <v>24669308.960000001</v>
      </c>
      <c r="D48" s="69">
        <f>SUM(D36:D47)</f>
        <v>16531268.508000003</v>
      </c>
      <c r="E48" s="69">
        <f>SUM(E36:E47)</f>
        <v>8138040.4520000014</v>
      </c>
      <c r="F48" s="46"/>
      <c r="G48" s="69">
        <f>SUM(G36:G47)</f>
        <v>6510432.3616000023</v>
      </c>
      <c r="H48" s="69">
        <f>SUM(H36:H47)</f>
        <v>406902.02260000014</v>
      </c>
      <c r="I48" s="69">
        <f>SUM(I36:I47)</f>
        <v>406902.02260000014</v>
      </c>
      <c r="J48" s="69"/>
      <c r="K48" s="69">
        <f>SUM(K36:K47)</f>
        <v>279745.80149953486</v>
      </c>
      <c r="L48" s="69">
        <f>SUM(L36:L47)</f>
        <v>51066.27165675228</v>
      </c>
      <c r="M48" s="69">
        <f>SUM(M36:M47)</f>
        <v>46181.359895021567</v>
      </c>
      <c r="N48" s="69">
        <f>SUM(N36:N47)</f>
        <v>146610.80520726007</v>
      </c>
      <c r="O48" s="69"/>
      <c r="P48" s="69">
        <f>SUM(P36:P47)</f>
        <v>201950.45505617399</v>
      </c>
      <c r="Q48" s="69">
        <f>SUM(Q36:Q47)</f>
        <v>30115.959202733255</v>
      </c>
      <c r="R48" s="69"/>
      <c r="S48" s="69">
        <f>SUM(S36:S47)</f>
        <v>58133.392682524216</v>
      </c>
    </row>
    <row r="49" spans="1:19" s="51" customFormat="1" ht="15.75" thickTop="1" x14ac:dyDescent="0.25">
      <c r="A49" s="48"/>
      <c r="B49" s="48"/>
      <c r="C49" s="46"/>
      <c r="D49" s="49"/>
      <c r="E49" s="49"/>
      <c r="F49" s="49"/>
      <c r="G49" s="49"/>
      <c r="H49" s="49"/>
      <c r="K49" s="49"/>
      <c r="L49" s="49"/>
      <c r="M49" s="49"/>
      <c r="N49" s="49"/>
      <c r="P49" s="49"/>
    </row>
    <row r="50" spans="1:19" s="51" customFormat="1" x14ac:dyDescent="0.25">
      <c r="A50" s="48"/>
      <c r="B50" s="48"/>
      <c r="C50" s="49"/>
      <c r="D50" s="49">
        <f>D48/$C$48</f>
        <v>0.67011477844006873</v>
      </c>
      <c r="E50" s="49">
        <f>E48/$C$48</f>
        <v>0.32988522155993139</v>
      </c>
      <c r="F50" s="49"/>
      <c r="G50" s="49">
        <f>G48/$E$48</f>
        <v>0.80000000000000016</v>
      </c>
      <c r="H50" s="49">
        <f>H48/$E$48</f>
        <v>5.000000000000001E-2</v>
      </c>
      <c r="I50" s="49">
        <f>I48/$E$48</f>
        <v>5.000000000000001E-2</v>
      </c>
      <c r="K50" s="49">
        <f>K48/$E$48</f>
        <v>3.4375081218819041E-2</v>
      </c>
      <c r="L50" s="49">
        <f>L48/$E$48</f>
        <v>6.2750083337570848E-3</v>
      </c>
      <c r="M50" s="49">
        <f>M48/$E$48</f>
        <v>5.6747518235390508E-3</v>
      </c>
      <c r="N50" s="49">
        <f>N48/$E$48</f>
        <v>1.8015492313168468E-2</v>
      </c>
      <c r="P50" s="49">
        <f>P48/$E$48</f>
        <v>2.4815612093270281E-2</v>
      </c>
      <c r="Q50" s="49">
        <f>Q48/$E$48</f>
        <v>3.7006401455441239E-3</v>
      </c>
      <c r="S50" s="49">
        <f>S48/$E$48</f>
        <v>7.1434140719019625E-3</v>
      </c>
    </row>
    <row r="51" spans="1:19" s="51" customFormat="1" x14ac:dyDescent="0.25">
      <c r="A51" s="48"/>
      <c r="B51" s="48"/>
      <c r="C51" s="49"/>
      <c r="D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1:19" s="51" customFormat="1" x14ac:dyDescent="0.25">
      <c r="A52" s="71" t="s">
        <v>55</v>
      </c>
      <c r="B52" s="48"/>
      <c r="C52" s="49"/>
      <c r="D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</row>
    <row r="53" spans="1:19" s="54" customFormat="1" x14ac:dyDescent="0.25">
      <c r="A53" s="72" t="s">
        <v>69</v>
      </c>
      <c r="B53" s="73"/>
      <c r="C53" s="74"/>
      <c r="D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</row>
    <row r="54" spans="1:19" s="54" customFormat="1" x14ac:dyDescent="0.25">
      <c r="A54" s="72" t="s">
        <v>57</v>
      </c>
      <c r="B54" s="73"/>
      <c r="C54" s="74"/>
      <c r="D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</row>
    <row r="55" spans="1:19" s="54" customFormat="1" x14ac:dyDescent="0.25">
      <c r="A55" s="72"/>
      <c r="B55" s="73"/>
      <c r="C55" s="74"/>
      <c r="D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</row>
    <row r="56" spans="1:19" s="54" customFormat="1" ht="15" customHeight="1" x14ac:dyDescent="0.25">
      <c r="A56" s="72" t="s">
        <v>58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</row>
    <row r="57" spans="1:19" s="54" customFormat="1" x14ac:dyDescent="0.25">
      <c r="B57" s="73"/>
      <c r="C57" s="74"/>
      <c r="D57" s="79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</row>
  </sheetData>
  <sheetProtection password="F7B1" sheet="1" objects="1" scenarios="1" selectLockedCells="1"/>
  <mergeCells count="12">
    <mergeCell ref="K34:S34"/>
    <mergeCell ref="A1:S1"/>
    <mergeCell ref="A2:S2"/>
    <mergeCell ref="A3:S3"/>
    <mergeCell ref="A4:S4"/>
    <mergeCell ref="A5:S5"/>
    <mergeCell ref="A8:S8"/>
    <mergeCell ref="C10:I10"/>
    <mergeCell ref="K10:N10"/>
    <mergeCell ref="P10:Q10"/>
    <mergeCell ref="A30:S30"/>
    <mergeCell ref="G32:S32"/>
  </mergeCells>
  <hyperlinks>
    <hyperlink ref="A4" r:id="rId1" xr:uid="{00000000-0004-0000-0300-000000000000}"/>
  </hyperlinks>
  <printOptions horizontalCentered="1" verticalCentered="1"/>
  <pageMargins left="0" right="0" top="0.25" bottom="0.25" header="0.3" footer="0.3"/>
  <pageSetup scale="68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23-24 Rivers Monthly</vt:lpstr>
      <vt:lpstr>22-23 Rivers Monthly</vt:lpstr>
      <vt:lpstr>21-22 Rivers Monthly </vt:lpstr>
      <vt:lpstr>20-21 Rivers Monthly</vt:lpstr>
      <vt:lpstr>19-20 Rivers Monthly</vt:lpstr>
      <vt:lpstr>18-19 Rivers Monthly</vt:lpstr>
      <vt:lpstr>17-18 Rivers Monthly</vt:lpstr>
      <vt:lpstr>16-17 Rivers Monthly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kedzior (Gaming)</dc:creator>
  <cp:lastModifiedBy>Day, Zachary (GAMING)</cp:lastModifiedBy>
  <cp:lastPrinted>2024-03-07T14:40:42Z</cp:lastPrinted>
  <dcterms:created xsi:type="dcterms:W3CDTF">2018-12-07T15:26:22Z</dcterms:created>
  <dcterms:modified xsi:type="dcterms:W3CDTF">2024-04-05T13:22:44Z</dcterms:modified>
</cp:coreProperties>
</file>